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>'Sheet1'!$A$202:$N$265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<sst xmlns="http://schemas.openxmlformats.org/spreadsheetml/2006/main" count="483" uniqueCount="366">
  <si>
    <t>HUNZA CONSOLIDATION  BERHAD (297020-W)</t>
  </si>
  <si>
    <t>QUARTERLY REPORT FOR  THE  PERIOD ENDED  30 SEPTEMBER  1999</t>
  </si>
  <si>
    <t>The  Directors  are pleased  to  announce the  unaudited  results  of the  Group  and  the Company for the period ended 30 September 1999</t>
  </si>
  <si>
    <t>CONSOLIDATED INCOME STATEMENT</t>
  </si>
  <si>
    <t>Individual Quarter</t>
  </si>
  <si>
    <t>Cumulative Quarter</t>
  </si>
  <si>
    <t xml:space="preserve">3 months </t>
  </si>
  <si>
    <t xml:space="preserve">*3 months </t>
  </si>
  <si>
    <t xml:space="preserve">9 months </t>
  </si>
  <si>
    <t xml:space="preserve">*9 months </t>
  </si>
  <si>
    <t>ended</t>
  </si>
  <si>
    <t>30.9.1999</t>
  </si>
  <si>
    <t>30.9.1998</t>
  </si>
  <si>
    <t>RM '000</t>
  </si>
  <si>
    <t>1.</t>
  </si>
  <si>
    <t>(a)</t>
  </si>
  <si>
    <t>Turnover</t>
  </si>
  <si>
    <t>(b)</t>
  </si>
  <si>
    <t>Investment income</t>
  </si>
  <si>
    <t>(c)</t>
  </si>
  <si>
    <t>Other income including interest income</t>
  </si>
  <si>
    <t>2.</t>
  </si>
  <si>
    <t xml:space="preserve">Operating profit before interest on </t>
  </si>
  <si>
    <t>borrowings, depreciation and amortisation,</t>
  </si>
  <si>
    <t>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</si>
  <si>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</si>
  <si>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</si>
  <si>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</si>
  <si>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</si>
  <si>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</si>
  <si>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</si>
  <si>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 after interest on</t>
  </si>
  <si>
    <t>borrowings, depreciation and amortisation</t>
  </si>
  <si>
    <t>and exceptional items but before income tax,</t>
  </si>
  <si>
    <t>(f)</t>
  </si>
  <si>
    <t>Share in the results of associated</t>
  </si>
  <si>
    <t>companies</t>
  </si>
  <si>
    <t>(g)</t>
  </si>
  <si>
    <t>Profit before taxation, minority</t>
  </si>
  <si>
    <t>interests and extraordinary items</t>
  </si>
  <si>
    <t>(h)</t>
  </si>
  <si>
    <t>Taxation</t>
  </si>
  <si>
    <t>(i)</t>
  </si>
  <si>
    <t>(i) Profit after taxation before</t>
  </si>
  <si>
    <t xml:space="preserve">     deducting minority interests</t>
  </si>
  <si>
    <t>(ii) Add minority interests share of losses</t>
  </si>
  <si>
    <t>(j)</t>
  </si>
  <si>
    <t>Profit after taxation attributable</t>
  </si>
  <si>
    <t>to members of the company</t>
  </si>
  <si>
    <t>(k)</t>
  </si>
  <si>
    <t>(i) Extraordinary items</t>
  </si>
  <si>
    <t>-</t>
  </si>
  <si>
    <t>(ii) Less minority interests</t>
  </si>
  <si>
    <t>(iii) Extraordinary items attributable to</t>
  </si>
  <si>
    <t xml:space="preserve">       members of the company</t>
  </si>
  <si>
    <t>(l)</t>
  </si>
  <si>
    <t>Profit after taxation and extraordinary</t>
  </si>
  <si>
    <t>items attributable to members of the company</t>
  </si>
  <si>
    <t>3.</t>
  </si>
  <si>
    <t>Earnings per share based on 2(j) above after deducting</t>
  </si>
  <si>
    <t>any provision for preference dividends, if any : -</t>
  </si>
  <si>
    <t>(i) Basic (based  on 38,888,000 ordinary shares) ( sen )</t>
  </si>
  <si>
    <t xml:space="preserve">(ii) Fully diluted </t>
  </si>
  <si>
    <t xml:space="preserve">Note: The fully diluted earnings per share are not shown, as </t>
  </si>
  <si>
    <t xml:space="preserve">    it is antidilutive</t>
  </si>
  <si>
    <t>Profit realised on sale of investment</t>
  </si>
  <si>
    <t>Dividend per share (sen)</t>
  </si>
  <si>
    <t>*</t>
  </si>
  <si>
    <t>This is the first quarterly report &amp; no preceeding year's corresponding individual and cumulative quarterly report was prepared.</t>
  </si>
  <si>
    <t>CONSOLIDATED BALANCE SHEET</t>
  </si>
  <si>
    <t xml:space="preserve">As at </t>
  </si>
  <si>
    <t>As at</t>
  </si>
  <si>
    <t xml:space="preserve">End of </t>
  </si>
  <si>
    <t>Preceding</t>
  </si>
  <si>
    <t>Current</t>
  </si>
  <si>
    <t>Financial</t>
  </si>
  <si>
    <t>Quarter</t>
  </si>
  <si>
    <t>Year End</t>
  </si>
  <si>
    <t>30.09.1999</t>
  </si>
  <si>
    <t>31.12.1998</t>
  </si>
  <si>
    <t>RM'000</t>
  </si>
  <si>
    <t>Fixed Assets</t>
  </si>
  <si>
    <t>Investment in Associated Companies</t>
  </si>
  <si>
    <t>Other Investments</t>
  </si>
  <si>
    <t>Intangible Assets</t>
  </si>
  <si>
    <t>Current Assets</t>
  </si>
  <si>
    <t>Stocks</t>
  </si>
  <si>
    <t>Trade Debtors</t>
  </si>
  <si>
    <t>Other Debtors, Deposits and Prepayments</t>
  </si>
  <si>
    <t>Fixed Deposits</t>
  </si>
  <si>
    <t>Cash and Bank Balances</t>
  </si>
  <si>
    <t>Current Liabilities</t>
  </si>
  <si>
    <t>Short Term Borrowings(include long term loan due within 1 year )</t>
  </si>
  <si>
    <t>Trade Creditors</t>
  </si>
  <si>
    <t>Other Creditors and Accruals</t>
  </si>
  <si>
    <t>Provision for Taxation</t>
  </si>
  <si>
    <t>Proposed Dividend</t>
  </si>
  <si>
    <t>Net Current Assets</t>
  </si>
  <si>
    <t>Shareholders' Funds</t>
  </si>
  <si>
    <t>Share Capital</t>
  </si>
  <si>
    <t>Reserves</t>
  </si>
  <si>
    <t xml:space="preserve">  Share Premium</t>
  </si>
  <si>
    <t xml:space="preserve">  Retained Profit</t>
  </si>
  <si>
    <t>Less: 327,000 Treasury Shares, at cost</t>
  </si>
  <si>
    <t>Minority Interests</t>
  </si>
  <si>
    <t>Long Term Borrowings</t>
  </si>
  <si>
    <t>Other Long Term Liabilities (Deferred Taxation)</t>
  </si>
  <si>
    <t>Net tangible assets per share (sen)</t>
  </si>
  <si>
    <t>NOTES</t>
  </si>
  <si>
    <t xml:space="preserve">The same accounting policies and methods of computation are followed in this quarterly financial statements as compared with the latest </t>
  </si>
  <si>
    <t>1998 annual financial statements.</t>
  </si>
  <si>
    <t>Nature and Amount of the Exceptional Item</t>
  </si>
  <si>
    <t>3 months</t>
  </si>
  <si>
    <t>9 months</t>
  </si>
  <si>
    <t>Gain on disposal of investment in associated company</t>
  </si>
  <si>
    <t>Nature and Amount of Extraordinary Item : N/A</t>
  </si>
  <si>
    <t>Taxation includes :</t>
  </si>
  <si>
    <t>Deferred</t>
  </si>
  <si>
    <t>Associated company</t>
  </si>
  <si>
    <t>Under provision in respect of prior years</t>
  </si>
  <si>
    <t>No   pre-acquisition   profits   are  included  in   the   consolidated   results   of  the  Group  for   the period under review.</t>
  </si>
  <si>
    <t>No pre-acquisition profits are included in the consolidated results of the Group for the period under review.</t>
  </si>
  <si>
    <t xml:space="preserve">Profit on the sale of investments for the current financial period to date is RM 85k. </t>
  </si>
  <si>
    <t>No significant profit on the sale of properties for the current financial period under review.</t>
  </si>
  <si>
    <t xml:space="preserve">Particulars of Purchases and Disposals of Quoted Securities </t>
  </si>
  <si>
    <t>Total Purchases</t>
  </si>
  <si>
    <t>Total Disposals</t>
  </si>
  <si>
    <t xml:space="preserve">  354</t>
  </si>
  <si>
    <t>Total Profit on Disposal</t>
  </si>
  <si>
    <t xml:space="preserve">   85</t>
  </si>
  <si>
    <t>Total investments at cost</t>
  </si>
  <si>
    <t>Total investments at market value as at 30.9.1999</t>
  </si>
  <si>
    <t>The effect of changes in the composition of the Group for the current financial period to date :</t>
  </si>
  <si>
    <t>Acquisition of Hunza Seafood Marketing Sdn Bhd (HSM) and Hunza Nutriceuticals Sdn Bhd (HN)</t>
  </si>
  <si>
    <t>As per Hunza Consolidation Bhd (HCB)  press release dated 25.11.1998 and 8.6.1999,  the acquisitions of  HSM (which was completed in</t>
  </si>
  <si>
    <t xml:space="preserve"> January 1999)  and HN are not expected to have any material impact on the NTA and earnings of the Group for the financial year ending </t>
  </si>
  <si>
    <t>31 December 1999.</t>
  </si>
  <si>
    <t>Disposal of Associated Company, GH Packaging Sdn Bhd.(GH)</t>
  </si>
  <si>
    <t xml:space="preserve">As per HCB press release dated 12.02.1999, GH was disposed off in Feb 1999.  The said disposal is not expected to have any material impact </t>
  </si>
  <si>
    <t>on the NTA and earnings of the Group for the financial year ending 31 December 1999.</t>
  </si>
  <si>
    <t>Status of corporate proposals announced but not yet completed : N/A</t>
  </si>
  <si>
    <t>Sales especially in seafood division are seasonal in nature. The trend is normally higher sales during second half of the year due to</t>
  </si>
  <si>
    <t>higher demand during Europe summer break and festival season e.g. Christmas and  New Year.</t>
  </si>
  <si>
    <t xml:space="preserve">(a) </t>
  </si>
  <si>
    <t xml:space="preserve"> There was no new issue of shares made by the Company during the financial period under review.</t>
  </si>
  <si>
    <t xml:space="preserve">Total number of shares bought back for the current financial period to date (1.1.1999 to 30.9.1999) </t>
  </si>
  <si>
    <t>Total number of shares bought back</t>
  </si>
  <si>
    <t>Total cost</t>
  </si>
  <si>
    <t>RM</t>
  </si>
  <si>
    <t xml:space="preserve"> 760,241.57</t>
  </si>
  <si>
    <t>All purchased shares are  retained as treasury shares.</t>
  </si>
  <si>
    <t>Group borrowings as at 30.9.1999 (all denominated in RM'000)</t>
  </si>
  <si>
    <t>Short term borrowings (all secured)</t>
  </si>
  <si>
    <t xml:space="preserve">Bank Overdraft </t>
  </si>
  <si>
    <t xml:space="preserve">Banker Acceptance </t>
  </si>
  <si>
    <t>CBN (Credit Bills Negotiation)</t>
  </si>
  <si>
    <t xml:space="preserve">LC </t>
  </si>
  <si>
    <t>Share Margin Financing</t>
  </si>
  <si>
    <t xml:space="preserve">Long-term Loan due within one year </t>
  </si>
  <si>
    <t xml:space="preserve">Hire-purchase and Finance Lease Creditors due within one year </t>
  </si>
  <si>
    <t>Long term borrowings (all secured)</t>
  </si>
  <si>
    <t xml:space="preserve">Long-term Loan </t>
  </si>
  <si>
    <t xml:space="preserve">Hire-purchase and Finance Lease Creditors </t>
  </si>
  <si>
    <t>Contingent Liabilities</t>
  </si>
  <si>
    <t>There has been no contingent liabilities which the Group is contingently liable to.</t>
  </si>
  <si>
    <t xml:space="preserve">Financial Instruments </t>
  </si>
  <si>
    <t xml:space="preserve">The Group has no off balance sheet financial instruments for which positions have not been closed at 30.9.1999 or any financial </t>
  </si>
  <si>
    <t>instruments entered into after 30.9.1999.</t>
  </si>
  <si>
    <t xml:space="preserve">Pending material litigation </t>
  </si>
  <si>
    <t>There has been no material litigation which the Group is involved in.</t>
  </si>
  <si>
    <t>16</t>
  </si>
  <si>
    <t>Segment Information (1.1.1999-30.9.1999)</t>
  </si>
  <si>
    <t>Profit Before</t>
  </si>
  <si>
    <t>Taxation and</t>
  </si>
  <si>
    <t>Total</t>
  </si>
  <si>
    <t>Exceptional</t>
  </si>
  <si>
    <t>Assets</t>
  </si>
  <si>
    <t>Items</t>
  </si>
  <si>
    <t>Employed</t>
  </si>
  <si>
    <t>Seafood Division</t>
  </si>
  <si>
    <t>Paper Packaging Division</t>
  </si>
  <si>
    <t>Others</t>
  </si>
  <si>
    <t>Explanatory comments on material changes in PBT for the quarter reported  on as compared with the preceeding quarter.:N/A</t>
  </si>
  <si>
    <t>REVIEW  OF  RESULTS</t>
  </si>
  <si>
    <t xml:space="preserve">The Group's turnover in the third quarter increased at a faster pace as compared to the previous quarters. This was mainly </t>
  </si>
  <si>
    <t>contributed by the improved sales performance in seafood division where we successfully entered new markets in France and</t>
  </si>
  <si>
    <t xml:space="preserve">Denmark following our aggressive marketing strategy. In addition, the increased turnover for cumulative 3 quarters was also </t>
  </si>
  <si>
    <t>contributed by the new seafood processing plant in Parit Buntar (which started commercial operation in August 1998) and newly-</t>
  </si>
  <si>
    <t xml:space="preserve">acquired subsidiary (in July 1998), Tung Hai Fishing Sdn. Bhd. (as reported in our half yearly report for the 6 months ended </t>
  </si>
  <si>
    <t>June 30, 1999).</t>
  </si>
  <si>
    <t xml:space="preserve">The Group registered RM2.9 million of profit before taxation and exceptional items (PBT) for the period ended 30.9.1999. On the   </t>
  </si>
  <si>
    <t>whole, the Group's PBT in the third quarter increased at a slightly slower pace as compared to previous quarters. This was</t>
  </si>
  <si>
    <t xml:space="preserve">attributed mainly to margins were tighter and depressed as overseas market prices for prawns were not so strong in view of the  </t>
  </si>
  <si>
    <t>competitive price from other countries such as India, Indonesia, Vietnam and Bangladesh.</t>
  </si>
  <si>
    <t>On the other hand, the paper packaging division showed satisfactory results in the third quarter and maintained its performance</t>
  </si>
  <si>
    <t>in terms of turnover and PBT.</t>
  </si>
  <si>
    <t xml:space="preserve">The Company,  being  investment  holding,  has  no  significant  independent  source of revenue. Hence, at Company level, </t>
  </si>
  <si>
    <t>there is a loss in current quarter.</t>
  </si>
  <si>
    <t>PROSPECTS</t>
  </si>
  <si>
    <t xml:space="preserve">Barring unforeseen circumstances, the Board is of the opinion that there should be improvement in the performance of the </t>
  </si>
  <si>
    <t>Group in the last quarter of the financial year.</t>
  </si>
  <si>
    <t xml:space="preserve">Explanatory notes for variance of actual profit from forecast profit and shortfall in the profit guarantee ( only applicable to the </t>
  </si>
  <si>
    <t>final quarter ) : N/A</t>
  </si>
  <si>
    <t>DIVIDEND</t>
  </si>
  <si>
    <t>The  Directors   do  not   propose   any  interim   dividend   for  the   financial  year ending   31   December 1999 ( 1998 : NIL ).</t>
  </si>
  <si>
    <t>UPDATE ON Y2000 COMPLIANCE</t>
  </si>
  <si>
    <t xml:space="preserve">As per our lastest announcement to KLSE dated 30 June 1999 on this matter,  our internal Y2K compliance projects have all been  </t>
  </si>
  <si>
    <t>completed satisfactorily. We also have our contingency plans ready for any potential external factors which may arise from Y2K</t>
  </si>
  <si>
    <t xml:space="preserve">completed by end of 1998 as announced to KLSE on  17 June 1998. This exercise will not </t>
  </si>
  <si>
    <t>materially impact the Group liquidity and operation results.</t>
  </si>
  <si>
    <t>issue that may impact our business.</t>
  </si>
  <si>
    <t>By  Order  of  the  Board</t>
  </si>
  <si>
    <t>Liew Li Mei</t>
  </si>
  <si>
    <t>Tay Phaik Huat</t>
  </si>
  <si>
    <t>Secretaries</t>
  </si>
  <si>
    <t>Penang</t>
  </si>
  <si>
    <t>Date:</t>
  </si>
  <si>
    <t>HUNZA CONSOLIDATION BERHAD</t>
  </si>
  <si>
    <t>Group Borrowings as at 30.09.99</t>
  </si>
  <si>
    <t>Overdraft</t>
  </si>
  <si>
    <t>BA (secured )</t>
  </si>
  <si>
    <t>CBN (secured )</t>
  </si>
  <si>
    <t xml:space="preserve">long term loan </t>
  </si>
  <si>
    <t>HP principal</t>
  </si>
  <si>
    <t xml:space="preserve">Lease principal </t>
  </si>
  <si>
    <t>Temporary OD</t>
  </si>
  <si>
    <t>Share Margin</t>
  </si>
  <si>
    <t>Short Term Loan</t>
  </si>
  <si>
    <t>(secured)</t>
  </si>
  <si>
    <t>HCB</t>
  </si>
  <si>
    <t>ok</t>
  </si>
  <si>
    <t>HLSB</t>
  </si>
  <si>
    <t>SWF</t>
  </si>
  <si>
    <t>OG</t>
  </si>
  <si>
    <t>THF</t>
  </si>
  <si>
    <t>BA</t>
  </si>
  <si>
    <t>MP</t>
  </si>
  <si>
    <t>HMP</t>
  </si>
  <si>
    <t>HMPT</t>
  </si>
  <si>
    <t>Less: due within one year</t>
  </si>
  <si>
    <t>Due after one year</t>
  </si>
  <si>
    <t>Due within one year</t>
  </si>
  <si>
    <t>Check!</t>
  </si>
  <si>
    <t>Difference</t>
  </si>
  <si>
    <t xml:space="preserve">MP  </t>
  </si>
  <si>
    <t>L/T loan</t>
  </si>
  <si>
    <t>Instalment X 12</t>
  </si>
  <si>
    <t>less interest due within one year</t>
  </si>
  <si>
    <t>term loan 1</t>
  </si>
  <si>
    <t>15397 X 12</t>
  </si>
  <si>
    <t>less</t>
  </si>
  <si>
    <t>579678.33 X 8.925%</t>
  </si>
  <si>
    <t>Principle due within one year</t>
  </si>
  <si>
    <t>term loan 2</t>
  </si>
  <si>
    <t>6817 X 12</t>
  </si>
  <si>
    <t>474320.27 X 9.175%</t>
  </si>
  <si>
    <t>Total principle due within one year</t>
  </si>
  <si>
    <t xml:space="preserve">HUNZA CONSOLIDATION BERHAD </t>
  </si>
  <si>
    <t>SEGMENT INFORMATION - TOTAL ASSETS AS AT 30.09.99</t>
  </si>
  <si>
    <t xml:space="preserve">Interest in </t>
  </si>
  <si>
    <t xml:space="preserve">Investment </t>
  </si>
  <si>
    <t>Other</t>
  </si>
  <si>
    <t>Interco</t>
  </si>
  <si>
    <t>Other current</t>
  </si>
  <si>
    <t>Intangible</t>
  </si>
  <si>
    <t>Subsidiary</t>
  </si>
  <si>
    <t>in Associate</t>
  </si>
  <si>
    <t>Investment</t>
  </si>
  <si>
    <t>balances</t>
  </si>
  <si>
    <t>asset</t>
  </si>
  <si>
    <t>Seafood</t>
  </si>
  <si>
    <t xml:space="preserve">Sin Wan Fatt </t>
  </si>
  <si>
    <t>Tung Hai Fishing</t>
  </si>
  <si>
    <t>Hunza Marine</t>
  </si>
  <si>
    <t>Ocean Garden</t>
  </si>
  <si>
    <t>Hunza Marine (Tawau) Sdn Bhd</t>
  </si>
  <si>
    <t>Hunza Seafood Marketing</t>
  </si>
  <si>
    <t>Less: Consolidation adjustment</t>
  </si>
  <si>
    <t>Packaging</t>
  </si>
  <si>
    <t>Master Pack</t>
  </si>
  <si>
    <t>Construction</t>
  </si>
  <si>
    <t xml:space="preserve">Masuka Bina </t>
  </si>
  <si>
    <t>Hunza Consolidation</t>
  </si>
  <si>
    <t>Hunza Labs</t>
  </si>
  <si>
    <t>Grand Total</t>
  </si>
  <si>
    <t>+&lt;&lt;C:\My Documents\My Documents\HUNZA CONSO\Accounts\F.Y. 1998\Dec98 - Consolidated Accounts Audited.123&gt;&gt;A:T17..A:T17; ERR</t>
  </si>
  <si>
    <t>+&lt;&lt;C:\My Documents\My Documents\HUNZA CONSO\Accounts\F.Y. 1998\Dec98 - Consolidated Accounts Audited.123&gt;&gt;A:T20..A:T20; ERR</t>
  </si>
  <si>
    <t>+&lt;&lt;C:\My Documents\My Documents\HUNZA CONSO\Accounts\F.Y. 1998\Dec98 - Consolidated Accounts Audited.123&gt;&gt;A:T22..A:T22; ERR</t>
  </si>
  <si>
    <t>@SUM(&lt;&lt;C:\My Documents\My Documents\HUNZA CONSO\Accounts\F.Y. 1998\Dec98 - Consolidated Accounts Audited.123&gt;&gt;A:T29..A:T32); ERR</t>
  </si>
  <si>
    <t>+&lt;&lt;C:\My Documents\My Documents\HUNZA CONSO\Accounts\F.Y. 1998\Dec98 - Consolidated Accounts Audited.123&gt;&gt;A:T40..A:T40-I40; ERR</t>
  </si>
  <si>
    <t>+&lt;&lt;C:\My Documents\My Documents\HUNZA CONSO\Accounts\F.Y. 1998\Dec98 - Consolidated Accounts Audited.123&gt;&gt;A:T62..A:T62+&lt;&lt;C:\My Documents\My Documents\HUNZA CONSO\Accounts\F.Y. 1998\Dec98 - Consolidated Accounts Audited.123&gt;&gt;A:N63..A:N63</t>
  </si>
  <si>
    <t>Computation of weighted average number of ordinary shares</t>
  </si>
  <si>
    <t>000</t>
  </si>
  <si>
    <t>Money Received From Exercise of ESOS</t>
  </si>
  <si>
    <t>Share Capital as at 30.09.99</t>
  </si>
  <si>
    <t>Esos: 1 batch</t>
  </si>
  <si>
    <t>16.9.99</t>
  </si>
  <si>
    <t>3310 X 15/273</t>
  </si>
  <si>
    <t>@ 2.13</t>
  </si>
  <si>
    <t>Esos: 2 batch</t>
  </si>
  <si>
    <t>28.9.99</t>
  </si>
  <si>
    <t>180 x 3/273</t>
  </si>
  <si>
    <t>@2.18</t>
  </si>
  <si>
    <t>Treasury Share</t>
  </si>
  <si>
    <t>19.04.99</t>
  </si>
  <si>
    <t>10 x 165/273</t>
  </si>
  <si>
    <t>20.04.99</t>
  </si>
  <si>
    <t>10 x 164/273</t>
  </si>
  <si>
    <t>Interest Received Fr Placement Of FD</t>
  </si>
  <si>
    <t>21.04.99</t>
  </si>
  <si>
    <t>10 x 163/273</t>
  </si>
  <si>
    <t>Average rate of FD</t>
  </si>
  <si>
    <t>22.04.99</t>
  </si>
  <si>
    <t>4 x 162/273</t>
  </si>
  <si>
    <t>1- 2 month</t>
  </si>
  <si>
    <t>3-5 month</t>
  </si>
  <si>
    <t>23.04.99</t>
  </si>
  <si>
    <t>6 x 161/273</t>
  </si>
  <si>
    <t>6-8 month</t>
  </si>
  <si>
    <t>9-11 month</t>
  </si>
  <si>
    <t>27.04.99</t>
  </si>
  <si>
    <t>13 x 157/273</t>
  </si>
  <si>
    <t>12-15 month</t>
  </si>
  <si>
    <t>13.05.99</t>
  </si>
  <si>
    <t>10 x 141/273</t>
  </si>
  <si>
    <t>average</t>
  </si>
  <si>
    <t>17.05.99</t>
  </si>
  <si>
    <t>5 x 137/273</t>
  </si>
  <si>
    <t>Interest Received</t>
  </si>
  <si>
    <t>31.05.99</t>
  </si>
  <si>
    <t>10 x 123/273</t>
  </si>
  <si>
    <t>1 batch</t>
  </si>
  <si>
    <t>7050300X3.6%X15/365</t>
  </si>
  <si>
    <t>02.06.99</t>
  </si>
  <si>
    <t>10 x 121/273</t>
  </si>
  <si>
    <t>2 batch</t>
  </si>
  <si>
    <t>392400 X 3.6 % X 3/365</t>
  </si>
  <si>
    <t>04.06.99</t>
  </si>
  <si>
    <t>16 x 119/273</t>
  </si>
  <si>
    <t>07.06.99</t>
  </si>
  <si>
    <t>13 x 116/273</t>
  </si>
  <si>
    <t>08.06.99</t>
  </si>
  <si>
    <t>1 x 115/273</t>
  </si>
  <si>
    <t>17.06.99</t>
  </si>
  <si>
    <t>2 x 106/273</t>
  </si>
  <si>
    <t>23.06.99</t>
  </si>
  <si>
    <t>2 x 100/273</t>
  </si>
  <si>
    <t>25.06.99</t>
  </si>
  <si>
    <t>8 x 98/273</t>
  </si>
  <si>
    <t>20.09.99</t>
  </si>
  <si>
    <t>18 x 11/273</t>
  </si>
  <si>
    <t>21.09.99</t>
  </si>
  <si>
    <t>40 x 10/273</t>
  </si>
  <si>
    <t>22.09.99</t>
  </si>
  <si>
    <t>22 x 9/273</t>
  </si>
  <si>
    <t>23.09.99</t>
  </si>
  <si>
    <t>3 x 8/273</t>
  </si>
  <si>
    <t>24.09.99</t>
  </si>
  <si>
    <t>34 x 7/273</t>
  </si>
  <si>
    <t>27.09.99</t>
  </si>
  <si>
    <t>8 x 4/273</t>
  </si>
  <si>
    <t>28.09.99</t>
  </si>
  <si>
    <t>30 x 3/273</t>
  </si>
  <si>
    <t>30.09.99</t>
  </si>
  <si>
    <t>42 x 1/273</t>
  </si>
  <si>
    <t>Total investments at carrying value/book value (no provision for diminution in value)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</si>
</sst>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"/>
    <numFmt numFmtId="165" formatCode="dd\-mmm\-yy"/>
  </numFmts>
  <fonts count="1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u val="single"/>
      <sz val="12"/>
      <name val="Times New Roman"/>
      <family val="0"/>
    </font>
    <font>
      <sz val="12"/>
      <color indexed="8"/>
      <name val="Times New Roman"/>
      <family val="0"/>
    </font>
    <font>
      <i/>
      <sz val="12"/>
      <name val="Times New Roman"/>
      <family val="0"/>
    </font>
    <font>
      <u val="single"/>
      <sz val="12"/>
      <name val="Arial"/>
      <family val="0"/>
    </font>
    <font>
      <b/>
      <sz val="12"/>
      <name val="Arial"/>
      <family val="0"/>
    </font>
    <font>
      <sz val="12"/>
      <color indexed="8"/>
      <name val="Arial"/>
      <family val="0"/>
    </font>
    <font>
      <sz val="12"/>
      <color indexed="1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4" fillId="0" borderId="1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3" fontId="4" fillId="0" borderId="2" xfId="0" applyNumberFormat="1" applyFont="1" applyAlignment="1">
      <alignment/>
    </xf>
    <xf numFmtId="4" fontId="4" fillId="0" borderId="0" xfId="0" applyNumberFormat="1" applyFont="1" applyAlignment="1">
      <alignment/>
    </xf>
    <xf numFmtId="3" fontId="4" fillId="0" borderId="2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4" fillId="0" borderId="3" xfId="0" applyNumberFormat="1" applyFont="1" applyAlignment="1">
      <alignment/>
    </xf>
    <xf numFmtId="3" fontId="4" fillId="0" borderId="4" xfId="0" applyNumberFormat="1" applyFont="1" applyAlignment="1">
      <alignment/>
    </xf>
    <xf numFmtId="3" fontId="7" fillId="0" borderId="3" xfId="0" applyNumberFormat="1" applyFont="1" applyAlignment="1">
      <alignment/>
    </xf>
    <xf numFmtId="3" fontId="7" fillId="0" borderId="1" xfId="0" applyNumberFormat="1" applyFont="1" applyAlignment="1">
      <alignment/>
    </xf>
    <xf numFmtId="3" fontId="4" fillId="0" borderId="0" xfId="0" applyNumberFormat="1" applyFont="1" applyAlignment="1">
      <alignment horizontal="justify"/>
    </xf>
    <xf numFmtId="0" fontId="4" fillId="0" borderId="0" xfId="0" applyNumberFormat="1" applyFont="1" applyAlignment="1">
      <alignment horizontal="justify"/>
    </xf>
    <xf numFmtId="3" fontId="4" fillId="0" borderId="3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7" fillId="0" borderId="2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37" fontId="4" fillId="0" borderId="0" xfId="0" applyNumberFormat="1" applyFont="1" applyAlignment="1">
      <alignment/>
    </xf>
    <xf numFmtId="37" fontId="4" fillId="0" borderId="4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8" xfId="0" applyNumberFormat="1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4"/>
  <sheetViews>
    <sheetView tabSelected="1" showOutlineSymbols="0" workbookViewId="0" topLeftCell="A1">
      <selection activeCell="A1" sqref="A1"/>
    </sheetView>
  </sheetViews>
  <sheetFormatPr defaultColWidth="9.6640625" defaultRowHeight="15"/>
  <cols>
    <col min="1" max="1" width="4.6640625" style="1" customWidth="1"/>
    <col min="2" max="2" width="3.6640625" style="1" customWidth="1"/>
    <col min="3" max="3" width="20.6640625" style="1" customWidth="1"/>
    <col min="4" max="5" width="9.6640625" style="1" customWidth="1"/>
    <col min="6" max="6" width="3.6640625" style="1" customWidth="1"/>
    <col min="7" max="7" width="6.6640625" style="1" customWidth="1"/>
    <col min="8" max="8" width="9.6640625" style="1" customWidth="1"/>
    <col min="9" max="9" width="2.6640625" style="1" customWidth="1"/>
    <col min="10" max="10" width="11.6640625" style="1" customWidth="1"/>
    <col min="11" max="11" width="1.66796875" style="1" customWidth="1"/>
    <col min="12" max="12" width="3.6640625" style="1" customWidth="1"/>
    <col min="13" max="13" width="9.6640625" style="1" customWidth="1"/>
    <col min="14" max="14" width="2.6640625" style="1" customWidth="1"/>
    <col min="15" max="15" width="8.6640625" style="1" customWidth="1"/>
    <col min="16" max="16" width="1.66796875" style="1" customWidth="1"/>
    <col min="17" max="16384" width="9.6640625" style="1" customWidth="1"/>
  </cols>
  <sheetData>
    <row r="1" spans="1:1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.7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2"/>
    </row>
    <row r="4" spans="1:19" ht="15.75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2"/>
    </row>
    <row r="5" spans="1:19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2"/>
    </row>
    <row r="6" spans="1:19" ht="15.75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2"/>
    </row>
    <row r="7" spans="1:19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2"/>
    </row>
    <row r="8" spans="1:19" ht="15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2"/>
    </row>
    <row r="9" spans="1:19" ht="15.75">
      <c r="A9" s="5" t="s">
        <v>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2"/>
    </row>
    <row r="10" spans="1:19" ht="15.75">
      <c r="A10" s="5"/>
      <c r="B10" s="5"/>
      <c r="C10" s="5"/>
      <c r="D10" s="5"/>
      <c r="E10" s="5"/>
      <c r="F10" s="5"/>
      <c r="G10" s="6"/>
      <c r="H10" s="4" t="s">
        <v>4</v>
      </c>
      <c r="I10" s="4"/>
      <c r="J10" s="4"/>
      <c r="K10" s="4"/>
      <c r="L10" s="5"/>
      <c r="M10" s="4" t="s">
        <v>5</v>
      </c>
      <c r="N10" s="4"/>
      <c r="O10" s="4"/>
      <c r="P10" s="4"/>
      <c r="Q10" s="5"/>
      <c r="R10" s="5"/>
      <c r="S10" s="2"/>
    </row>
    <row r="11" spans="1:19" ht="15.75">
      <c r="A11" s="5"/>
      <c r="B11" s="5"/>
      <c r="C11" s="5"/>
      <c r="D11" s="5"/>
      <c r="E11" s="5"/>
      <c r="F11" s="5"/>
      <c r="G11" s="5"/>
      <c r="H11" s="7"/>
      <c r="I11" s="7"/>
      <c r="J11" s="7"/>
      <c r="K11" s="7"/>
      <c r="L11" s="5"/>
      <c r="M11" s="7"/>
      <c r="N11" s="7"/>
      <c r="O11" s="7"/>
      <c r="P11" s="7"/>
      <c r="Q11" s="5"/>
      <c r="R11" s="5"/>
      <c r="S11" s="2"/>
    </row>
    <row r="12" spans="1:19" ht="15.75">
      <c r="A12" s="5"/>
      <c r="B12" s="5"/>
      <c r="C12" s="5"/>
      <c r="D12" s="5"/>
      <c r="E12" s="5"/>
      <c r="F12" s="5"/>
      <c r="G12" s="5"/>
      <c r="H12" s="8" t="s">
        <v>6</v>
      </c>
      <c r="I12" s="5"/>
      <c r="J12" s="8" t="s">
        <v>7</v>
      </c>
      <c r="K12" s="5"/>
      <c r="L12" s="5"/>
      <c r="M12" s="8" t="s">
        <v>8</v>
      </c>
      <c r="N12" s="5"/>
      <c r="O12" s="8" t="s">
        <v>9</v>
      </c>
      <c r="P12" s="5"/>
      <c r="Q12" s="5"/>
      <c r="R12" s="5"/>
      <c r="S12" s="2"/>
    </row>
    <row r="13" spans="1:19" ht="15.75">
      <c r="A13" s="5"/>
      <c r="B13" s="5"/>
      <c r="C13" s="5"/>
      <c r="D13" s="5"/>
      <c r="E13" s="5"/>
      <c r="F13" s="5"/>
      <c r="G13" s="5"/>
      <c r="H13" s="8" t="s">
        <v>10</v>
      </c>
      <c r="I13" s="5"/>
      <c r="J13" s="8" t="s">
        <v>10</v>
      </c>
      <c r="K13" s="5"/>
      <c r="L13" s="5"/>
      <c r="M13" s="8" t="s">
        <v>10</v>
      </c>
      <c r="N13" s="5"/>
      <c r="O13" s="8" t="s">
        <v>10</v>
      </c>
      <c r="P13" s="5"/>
      <c r="Q13" s="5"/>
      <c r="R13" s="5"/>
      <c r="S13" s="2"/>
    </row>
    <row r="14" spans="1:19" ht="15.75">
      <c r="A14" s="5"/>
      <c r="B14" s="5"/>
      <c r="C14" s="5"/>
      <c r="D14" s="5"/>
      <c r="E14" s="5"/>
      <c r="F14" s="5"/>
      <c r="G14" s="5"/>
      <c r="H14" s="8" t="s">
        <v>11</v>
      </c>
      <c r="I14" s="5"/>
      <c r="J14" s="8" t="s">
        <v>12</v>
      </c>
      <c r="K14" s="5"/>
      <c r="L14" s="5"/>
      <c r="M14" s="8" t="s">
        <v>11</v>
      </c>
      <c r="N14" s="5"/>
      <c r="O14" s="8" t="s">
        <v>12</v>
      </c>
      <c r="P14" s="5"/>
      <c r="Q14" s="5"/>
      <c r="R14" s="5"/>
      <c r="S14" s="2"/>
    </row>
    <row r="15" spans="1:19" ht="15.75">
      <c r="A15" s="5"/>
      <c r="B15" s="5"/>
      <c r="C15" s="5"/>
      <c r="D15" s="5"/>
      <c r="E15" s="5"/>
      <c r="F15" s="5"/>
      <c r="G15" s="5"/>
      <c r="H15" s="8" t="s">
        <v>13</v>
      </c>
      <c r="I15" s="5"/>
      <c r="J15" s="8" t="s">
        <v>13</v>
      </c>
      <c r="K15" s="5"/>
      <c r="L15" s="5"/>
      <c r="M15" s="8" t="s">
        <v>13</v>
      </c>
      <c r="N15" s="5"/>
      <c r="O15" s="8" t="s">
        <v>13</v>
      </c>
      <c r="P15" s="5"/>
      <c r="Q15" s="5"/>
      <c r="R15" s="5"/>
      <c r="S15" s="2"/>
    </row>
    <row r="16" spans="1:19" ht="15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2"/>
    </row>
    <row r="17" spans="1:19" ht="15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2"/>
    </row>
    <row r="18" spans="1:19" ht="15.75">
      <c r="A18" s="9" t="s">
        <v>14</v>
      </c>
      <c r="B18" s="5" t="s">
        <v>15</v>
      </c>
      <c r="C18" s="5" t="s">
        <v>16</v>
      </c>
      <c r="D18" s="5"/>
      <c r="E18" s="5"/>
      <c r="F18" s="5"/>
      <c r="G18" s="5"/>
      <c r="H18" s="5">
        <v>27441</v>
      </c>
      <c r="I18" s="5"/>
      <c r="J18" s="5"/>
      <c r="K18" s="5"/>
      <c r="L18" s="5"/>
      <c r="M18" s="5">
        <v>71060</v>
      </c>
      <c r="N18" s="5"/>
      <c r="O18" s="5"/>
      <c r="P18" s="5"/>
      <c r="Q18" s="5"/>
      <c r="R18" s="5"/>
      <c r="S18" s="2"/>
    </row>
    <row r="19" spans="1:19" ht="15.75">
      <c r="A19" s="9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2"/>
    </row>
    <row r="20" spans="1:19" ht="15.75">
      <c r="A20" s="9"/>
      <c r="B20" s="5" t="s">
        <v>17</v>
      </c>
      <c r="C20" s="5" t="s">
        <v>18</v>
      </c>
      <c r="D20" s="5"/>
      <c r="E20" s="5"/>
      <c r="F20" s="5"/>
      <c r="G20" s="5"/>
      <c r="H20" s="10">
        <v>2</v>
      </c>
      <c r="I20" s="5"/>
      <c r="J20" s="5"/>
      <c r="K20" s="5"/>
      <c r="L20" s="5"/>
      <c r="M20" s="5">
        <v>3</v>
      </c>
      <c r="N20" s="5"/>
      <c r="O20" s="5"/>
      <c r="P20" s="5"/>
      <c r="Q20" s="5"/>
      <c r="R20" s="5"/>
      <c r="S20" s="2"/>
    </row>
    <row r="21" spans="1:19" ht="15.75">
      <c r="A21" s="9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2"/>
    </row>
    <row r="22" spans="1:19" ht="15.75">
      <c r="A22" s="9"/>
      <c r="B22" s="5" t="s">
        <v>19</v>
      </c>
      <c r="C22" s="5" t="s">
        <v>20</v>
      </c>
      <c r="D22" s="5"/>
      <c r="E22" s="5"/>
      <c r="F22" s="5"/>
      <c r="G22" s="5"/>
      <c r="H22" s="5">
        <v>426</v>
      </c>
      <c r="I22" s="5"/>
      <c r="J22" s="5"/>
      <c r="K22" s="5"/>
      <c r="L22" s="5"/>
      <c r="M22" s="5">
        <v>1261</v>
      </c>
      <c r="N22" s="5"/>
      <c r="O22" s="5"/>
      <c r="P22" s="5"/>
      <c r="Q22" s="5"/>
      <c r="R22" s="5"/>
      <c r="S22" s="2"/>
    </row>
    <row r="23" spans="1:19" ht="15.75">
      <c r="A23" s="9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2"/>
    </row>
    <row r="24" spans="1:19" ht="15.75">
      <c r="A24" s="9" t="s">
        <v>21</v>
      </c>
      <c r="B24" s="5" t="s">
        <v>15</v>
      </c>
      <c r="C24" s="5" t="s">
        <v>22</v>
      </c>
      <c r="D24" s="5"/>
      <c r="E24" s="5"/>
      <c r="F24" s="5"/>
      <c r="G24" s="8"/>
      <c r="H24" s="5">
        <f>883+H29+H31-H33-H42</f>
        <v>2587</v>
      </c>
      <c r="I24" s="5"/>
      <c r="J24" s="5"/>
      <c r="K24" s="5"/>
      <c r="L24" s="5"/>
      <c r="M24" s="5">
        <f>2934+M29+M31-M33-M42</f>
        <v>7527</v>
      </c>
      <c r="N24" s="5"/>
      <c r="O24" s="5"/>
      <c r="P24" s="5"/>
      <c r="Q24" s="5"/>
      <c r="R24" s="5"/>
      <c r="S24" s="2"/>
    </row>
    <row r="25" spans="1:19" ht="15.75">
      <c r="A25" s="9"/>
      <c r="B25" s="5"/>
      <c r="C25" s="5" t="s">
        <v>23</v>
      </c>
      <c r="D25" s="5"/>
      <c r="E25" s="5"/>
      <c r="F25" s="5"/>
      <c r="G25" s="8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2"/>
    </row>
    <row r="26" spans="1:19" ht="15.75">
      <c r="A26" s="9"/>
      <c r="B26" s="5"/>
      <c r="C26" s="5" t="s">
        <v>24</v>
      </c>
      <c r="D26" s="5"/>
      <c r="E26" s="5"/>
      <c r="F26" s="5"/>
      <c r="G26" s="8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2"/>
    </row>
    <row r="27" spans="1:19" ht="15.75">
      <c r="A27" s="9"/>
      <c r="B27" s="5"/>
      <c r="C27" s="5" t="s">
        <v>25</v>
      </c>
      <c r="D27" s="5"/>
      <c r="E27" s="5"/>
      <c r="F27" s="5"/>
      <c r="G27" s="8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2"/>
    </row>
    <row r="28" spans="1:19" ht="15.75">
      <c r="A28" s="9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2"/>
    </row>
    <row r="29" spans="1:19" ht="15.75">
      <c r="A29" s="9"/>
      <c r="B29" s="5" t="s">
        <v>17</v>
      </c>
      <c r="C29" s="5" t="s">
        <v>26</v>
      </c>
      <c r="D29" s="5"/>
      <c r="E29" s="5"/>
      <c r="F29" s="5"/>
      <c r="G29" s="5"/>
      <c r="H29" s="5">
        <v>504</v>
      </c>
      <c r="I29" s="5"/>
      <c r="J29" s="5"/>
      <c r="K29" s="5"/>
      <c r="L29" s="5"/>
      <c r="M29" s="5">
        <v>1318</v>
      </c>
      <c r="N29" s="5"/>
      <c r="O29" s="5"/>
      <c r="P29" s="5"/>
      <c r="Q29" s="5"/>
      <c r="R29" s="5"/>
      <c r="S29" s="2"/>
    </row>
    <row r="30" spans="1:19" ht="15.75">
      <c r="A30" s="9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2"/>
    </row>
    <row r="31" spans="1:19" ht="15.75">
      <c r="A31" s="9"/>
      <c r="B31" s="5" t="s">
        <v>19</v>
      </c>
      <c r="C31" s="5" t="s">
        <v>27</v>
      </c>
      <c r="D31" s="5"/>
      <c r="E31" s="5"/>
      <c r="F31" s="5"/>
      <c r="G31" s="5"/>
      <c r="H31" s="5">
        <v>1200</v>
      </c>
      <c r="I31" s="5"/>
      <c r="J31" s="5"/>
      <c r="K31" s="5"/>
      <c r="L31" s="5"/>
      <c r="M31" s="5">
        <v>3299</v>
      </c>
      <c r="N31" s="5"/>
      <c r="O31" s="5"/>
      <c r="P31" s="5"/>
      <c r="Q31" s="5"/>
      <c r="R31" s="5"/>
      <c r="S31" s="2"/>
    </row>
    <row r="32" spans="1:19" ht="15.75">
      <c r="A32" s="9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2"/>
    </row>
    <row r="33" spans="1:19" ht="15.75">
      <c r="A33" s="9"/>
      <c r="B33" s="5" t="s">
        <v>28</v>
      </c>
      <c r="C33" s="5" t="s">
        <v>29</v>
      </c>
      <c r="D33" s="5"/>
      <c r="E33" s="5"/>
      <c r="F33" s="5"/>
      <c r="G33" s="8"/>
      <c r="H33" s="5">
        <v>0</v>
      </c>
      <c r="I33" s="5"/>
      <c r="J33" s="5"/>
      <c r="K33" s="5"/>
      <c r="L33" s="5"/>
      <c r="M33" s="11">
        <v>24</v>
      </c>
      <c r="N33" s="11"/>
      <c r="O33" s="11"/>
      <c r="P33" s="5"/>
      <c r="Q33" s="5"/>
      <c r="R33" s="5"/>
      <c r="S33" s="2"/>
    </row>
    <row r="34" spans="1:19" ht="15.75">
      <c r="A34" s="9"/>
      <c r="B34" s="5"/>
      <c r="C34" s="5"/>
      <c r="D34" s="5"/>
      <c r="E34" s="5"/>
      <c r="F34" s="5"/>
      <c r="G34" s="5"/>
      <c r="H34" s="7"/>
      <c r="I34" s="5"/>
      <c r="J34" s="7"/>
      <c r="K34" s="5"/>
      <c r="L34" s="5"/>
      <c r="M34" s="7"/>
      <c r="N34" s="5"/>
      <c r="O34" s="7"/>
      <c r="P34" s="5"/>
      <c r="Q34" s="5"/>
      <c r="R34" s="5"/>
      <c r="S34" s="2"/>
    </row>
    <row r="35" spans="1:19" ht="15.75">
      <c r="A35" s="9"/>
      <c r="B35" s="5" t="s">
        <v>30</v>
      </c>
      <c r="C35" s="5" t="s">
        <v>31</v>
      </c>
      <c r="D35" s="5"/>
      <c r="E35" s="5"/>
      <c r="F35" s="5"/>
      <c r="G35" s="5"/>
      <c r="H35" s="5">
        <f>H24-H29-H31+H33</f>
        <v>883</v>
      </c>
      <c r="I35" s="5"/>
      <c r="J35" s="5"/>
      <c r="K35" s="5"/>
      <c r="L35" s="5"/>
      <c r="M35" s="5">
        <f>M24-M29-M31+M33</f>
        <v>2934</v>
      </c>
      <c r="N35" s="5"/>
      <c r="O35" s="5"/>
      <c r="P35" s="5"/>
      <c r="Q35" s="5"/>
      <c r="R35" s="5"/>
      <c r="S35" s="2"/>
    </row>
    <row r="36" spans="1:19" ht="15.75">
      <c r="A36" s="9"/>
      <c r="B36" s="5"/>
      <c r="C36" s="5" t="s">
        <v>32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2"/>
    </row>
    <row r="37" spans="1:19" ht="15.75">
      <c r="A37" s="9"/>
      <c r="B37" s="5"/>
      <c r="C37" s="5" t="s">
        <v>33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2"/>
    </row>
    <row r="38" spans="1:19" ht="15.75">
      <c r="A38" s="9"/>
      <c r="B38" s="5"/>
      <c r="C38" s="5" t="s">
        <v>25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2"/>
    </row>
    <row r="39" spans="1:19" ht="15.75">
      <c r="A39" s="9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2"/>
    </row>
    <row r="40" spans="1:19" ht="15.75">
      <c r="A40" s="9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2"/>
    </row>
    <row r="41" spans="1:19" ht="15.75">
      <c r="A41" s="9"/>
      <c r="B41" s="5" t="s">
        <v>34</v>
      </c>
      <c r="C41" s="5" t="s">
        <v>35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2"/>
    </row>
    <row r="42" spans="1:19" ht="15.75">
      <c r="A42" s="9"/>
      <c r="B42" s="5"/>
      <c r="C42" s="5" t="s">
        <v>36</v>
      </c>
      <c r="D42" s="5"/>
      <c r="E42" s="5"/>
      <c r="F42" s="5"/>
      <c r="G42" s="5"/>
      <c r="H42" s="5">
        <v>0</v>
      </c>
      <c r="I42" s="5"/>
      <c r="J42" s="5"/>
      <c r="K42" s="5"/>
      <c r="L42" s="5"/>
      <c r="M42" s="11">
        <v>0</v>
      </c>
      <c r="N42" s="11"/>
      <c r="O42" s="11"/>
      <c r="P42" s="5"/>
      <c r="Q42" s="5"/>
      <c r="R42" s="5"/>
      <c r="S42" s="2"/>
    </row>
    <row r="43" spans="1:19" ht="15.75">
      <c r="A43" s="9"/>
      <c r="B43" s="5"/>
      <c r="C43" s="5"/>
      <c r="D43" s="5"/>
      <c r="E43" s="5"/>
      <c r="F43" s="5"/>
      <c r="G43" s="5"/>
      <c r="H43" s="7"/>
      <c r="I43" s="5"/>
      <c r="J43" s="7"/>
      <c r="K43" s="5"/>
      <c r="L43" s="5"/>
      <c r="M43" s="7"/>
      <c r="N43" s="5"/>
      <c r="O43" s="7"/>
      <c r="P43" s="5"/>
      <c r="Q43" s="5"/>
      <c r="R43" s="5"/>
      <c r="S43" s="2"/>
    </row>
    <row r="44" spans="1:19" ht="15.75">
      <c r="A44" s="9"/>
      <c r="B44" s="5" t="s">
        <v>37</v>
      </c>
      <c r="C44" s="5" t="s">
        <v>38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2"/>
    </row>
    <row r="45" spans="1:19" ht="15.75">
      <c r="A45" s="9"/>
      <c r="B45" s="5"/>
      <c r="C45" s="5" t="s">
        <v>39</v>
      </c>
      <c r="D45" s="5"/>
      <c r="E45" s="5"/>
      <c r="F45" s="5"/>
      <c r="G45" s="5"/>
      <c r="H45" s="5">
        <f>SUM(H34:H42)</f>
        <v>883</v>
      </c>
      <c r="I45" s="5"/>
      <c r="J45" s="5"/>
      <c r="K45" s="5"/>
      <c r="L45" s="5"/>
      <c r="M45" s="5">
        <f>SUM(M34:M42)</f>
        <v>2934</v>
      </c>
      <c r="N45" s="5"/>
      <c r="O45" s="5"/>
      <c r="P45" s="5"/>
      <c r="Q45" s="5"/>
      <c r="R45" s="5"/>
      <c r="S45" s="2"/>
    </row>
    <row r="46" spans="1:19" ht="15.75">
      <c r="A46" s="9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2"/>
    </row>
    <row r="47" spans="1:19" ht="15.75">
      <c r="A47" s="9"/>
      <c r="B47" s="5" t="s">
        <v>40</v>
      </c>
      <c r="C47" s="5" t="s">
        <v>41</v>
      </c>
      <c r="D47" s="5"/>
      <c r="E47" s="5"/>
      <c r="F47" s="5"/>
      <c r="G47" s="8"/>
      <c r="H47" s="47">
        <v>-2</v>
      </c>
      <c r="I47" s="5"/>
      <c r="J47" s="5"/>
      <c r="K47" s="12"/>
      <c r="L47" s="12"/>
      <c r="M47" s="47">
        <v>-3</v>
      </c>
      <c r="N47" s="5"/>
      <c r="O47" s="5"/>
      <c r="P47" s="5"/>
      <c r="Q47" s="5"/>
      <c r="R47" s="5"/>
      <c r="S47" s="2"/>
    </row>
    <row r="48" spans="1:18" ht="15.75">
      <c r="A48" s="13"/>
      <c r="B48" s="12"/>
      <c r="C48" s="12"/>
      <c r="D48" s="12"/>
      <c r="E48" s="12"/>
      <c r="F48" s="12"/>
      <c r="G48" s="12"/>
      <c r="H48" s="7"/>
      <c r="I48" s="5"/>
      <c r="J48" s="7"/>
      <c r="K48" s="12"/>
      <c r="L48" s="12"/>
      <c r="M48" s="7"/>
      <c r="N48" s="5"/>
      <c r="O48" s="7"/>
      <c r="P48" s="12"/>
      <c r="Q48" s="12"/>
      <c r="R48" s="12"/>
    </row>
    <row r="49" spans="1:18" ht="15.75">
      <c r="A49" s="13"/>
      <c r="B49" s="5" t="s">
        <v>42</v>
      </c>
      <c r="C49" s="5" t="s">
        <v>43</v>
      </c>
      <c r="D49" s="5"/>
      <c r="E49" s="5"/>
      <c r="F49" s="12"/>
      <c r="G49" s="12"/>
      <c r="H49" s="5">
        <f>SUM(H43:H47)</f>
        <v>881</v>
      </c>
      <c r="I49" s="5"/>
      <c r="J49" s="5"/>
      <c r="K49" s="12"/>
      <c r="L49" s="12"/>
      <c r="M49" s="5">
        <f>SUM(M43:M47)</f>
        <v>2931</v>
      </c>
      <c r="N49" s="5"/>
      <c r="O49" s="5"/>
      <c r="P49" s="5"/>
      <c r="Q49" s="12"/>
      <c r="R49" s="12"/>
    </row>
    <row r="50" spans="1:18" ht="15.75">
      <c r="A50" s="13"/>
      <c r="B50" s="5"/>
      <c r="C50" s="5" t="s">
        <v>44</v>
      </c>
      <c r="D50" s="5"/>
      <c r="E50" s="5"/>
      <c r="F50" s="12"/>
      <c r="G50" s="12"/>
      <c r="H50" s="5"/>
      <c r="I50" s="5"/>
      <c r="J50" s="5"/>
      <c r="K50" s="12"/>
      <c r="L50" s="12"/>
      <c r="M50" s="5"/>
      <c r="N50" s="5"/>
      <c r="O50" s="5"/>
      <c r="P50" s="5"/>
      <c r="Q50" s="12"/>
      <c r="R50" s="12"/>
    </row>
    <row r="51" spans="1:18" ht="15.75">
      <c r="A51" s="13"/>
      <c r="B51" s="5"/>
      <c r="C51" s="5"/>
      <c r="D51" s="5"/>
      <c r="E51" s="5"/>
      <c r="F51" s="12"/>
      <c r="G51" s="12"/>
      <c r="H51" s="5"/>
      <c r="I51" s="5"/>
      <c r="J51" s="5"/>
      <c r="K51" s="12"/>
      <c r="L51" s="12"/>
      <c r="M51" s="5"/>
      <c r="N51" s="5"/>
      <c r="O51" s="5"/>
      <c r="P51" s="5"/>
      <c r="Q51" s="12"/>
      <c r="R51" s="12"/>
    </row>
    <row r="52" spans="1:18" ht="15.75">
      <c r="A52" s="13"/>
      <c r="B52" s="5"/>
      <c r="C52" s="5" t="s">
        <v>45</v>
      </c>
      <c r="D52" s="5"/>
      <c r="E52" s="5"/>
      <c r="F52" s="12"/>
      <c r="G52" s="12"/>
      <c r="H52" s="5">
        <v>239</v>
      </c>
      <c r="I52" s="5"/>
      <c r="J52" s="5"/>
      <c r="K52" s="12"/>
      <c r="L52" s="12"/>
      <c r="M52" s="5">
        <v>31</v>
      </c>
      <c r="N52" s="5"/>
      <c r="O52" s="5"/>
      <c r="P52" s="5"/>
      <c r="Q52" s="12"/>
      <c r="R52" s="12"/>
    </row>
    <row r="53" spans="1:18" ht="15.75">
      <c r="A53" s="13"/>
      <c r="B53" s="5"/>
      <c r="C53" s="5"/>
      <c r="D53" s="5"/>
      <c r="E53" s="5"/>
      <c r="F53" s="12"/>
      <c r="G53" s="12"/>
      <c r="H53" s="7"/>
      <c r="I53" s="5"/>
      <c r="J53" s="7"/>
      <c r="K53" s="12"/>
      <c r="L53" s="12"/>
      <c r="M53" s="7"/>
      <c r="N53" s="5"/>
      <c r="O53" s="7"/>
      <c r="P53" s="5"/>
      <c r="Q53" s="12"/>
      <c r="R53" s="12"/>
    </row>
    <row r="54" spans="1:18" ht="15.75">
      <c r="A54" s="13"/>
      <c r="B54" s="5" t="s">
        <v>46</v>
      </c>
      <c r="C54" s="5" t="s">
        <v>47</v>
      </c>
      <c r="D54" s="5"/>
      <c r="E54" s="5"/>
      <c r="F54" s="12"/>
      <c r="G54" s="12"/>
      <c r="H54" s="5"/>
      <c r="I54" s="5"/>
      <c r="J54" s="5"/>
      <c r="K54" s="12"/>
      <c r="L54" s="12"/>
      <c r="M54" s="5"/>
      <c r="N54" s="5"/>
      <c r="O54" s="5"/>
      <c r="P54" s="5"/>
      <c r="Q54" s="12"/>
      <c r="R54" s="12"/>
    </row>
    <row r="55" spans="1:18" ht="15.75">
      <c r="A55" s="13"/>
      <c r="B55" s="12"/>
      <c r="C55" s="12" t="s">
        <v>48</v>
      </c>
      <c r="D55" s="12"/>
      <c r="E55" s="5"/>
      <c r="F55" s="12"/>
      <c r="G55" s="12"/>
      <c r="H55" s="5">
        <f>SUM(H48:H52)</f>
        <v>1120</v>
      </c>
      <c r="I55" s="5"/>
      <c r="J55" s="5"/>
      <c r="K55" s="12"/>
      <c r="L55" s="12"/>
      <c r="M55" s="5">
        <f>SUM(M48:M52)</f>
        <v>2962</v>
      </c>
      <c r="N55" s="11"/>
      <c r="O55" s="11"/>
      <c r="P55" s="5"/>
      <c r="Q55" s="12"/>
      <c r="R55" s="12"/>
    </row>
    <row r="56" spans="1:18" ht="15.75">
      <c r="A56" s="13"/>
      <c r="B56" s="12"/>
      <c r="C56" s="12"/>
      <c r="D56" s="12"/>
      <c r="E56" s="5"/>
      <c r="F56" s="12"/>
      <c r="G56" s="12"/>
      <c r="H56" s="5"/>
      <c r="I56" s="5"/>
      <c r="J56" s="5"/>
      <c r="K56" s="12"/>
      <c r="L56" s="12"/>
      <c r="M56" s="11"/>
      <c r="N56" s="11"/>
      <c r="O56" s="11"/>
      <c r="P56" s="5"/>
      <c r="Q56" s="12"/>
      <c r="R56" s="12"/>
    </row>
    <row r="57" spans="1:18" ht="15.75">
      <c r="A57" s="13"/>
      <c r="B57" s="12" t="s">
        <v>49</v>
      </c>
      <c r="C57" s="12" t="s">
        <v>50</v>
      </c>
      <c r="D57" s="12"/>
      <c r="E57" s="5"/>
      <c r="F57" s="12"/>
      <c r="G57" s="12"/>
      <c r="H57" s="8" t="s">
        <v>51</v>
      </c>
      <c r="I57" s="5"/>
      <c r="J57" s="5"/>
      <c r="K57" s="12"/>
      <c r="L57" s="12"/>
      <c r="M57" s="8" t="s">
        <v>51</v>
      </c>
      <c r="N57" s="11"/>
      <c r="O57" s="11"/>
      <c r="P57" s="5"/>
      <c r="Q57" s="12"/>
      <c r="R57" s="12"/>
    </row>
    <row r="58" spans="1:18" ht="15.75">
      <c r="A58" s="13"/>
      <c r="B58" s="12"/>
      <c r="C58" s="12" t="s">
        <v>52</v>
      </c>
      <c r="D58" s="12"/>
      <c r="E58" s="5"/>
      <c r="F58" s="12"/>
      <c r="G58" s="12"/>
      <c r="H58" s="8" t="s">
        <v>51</v>
      </c>
      <c r="I58" s="5"/>
      <c r="J58" s="5"/>
      <c r="K58" s="12"/>
      <c r="L58" s="12"/>
      <c r="M58" s="8" t="s">
        <v>51</v>
      </c>
      <c r="N58" s="11"/>
      <c r="O58" s="5"/>
      <c r="P58" s="5"/>
      <c r="Q58" s="12"/>
      <c r="R58" s="12"/>
    </row>
    <row r="59" spans="1:18" ht="15.75">
      <c r="A59" s="13"/>
      <c r="B59" s="12"/>
      <c r="C59" s="12" t="s">
        <v>53</v>
      </c>
      <c r="D59" s="12"/>
      <c r="E59" s="5"/>
      <c r="F59" s="12"/>
      <c r="G59" s="12"/>
      <c r="H59" s="8" t="s">
        <v>51</v>
      </c>
      <c r="I59" s="5"/>
      <c r="J59" s="5"/>
      <c r="K59" s="12"/>
      <c r="L59" s="12"/>
      <c r="M59" s="8" t="s">
        <v>51</v>
      </c>
      <c r="N59" s="11"/>
      <c r="O59" s="11"/>
      <c r="P59" s="5"/>
      <c r="Q59" s="12"/>
      <c r="R59" s="12"/>
    </row>
    <row r="60" spans="1:18" ht="15.75">
      <c r="A60" s="13"/>
      <c r="B60" s="12"/>
      <c r="C60" s="12" t="s">
        <v>54</v>
      </c>
      <c r="D60" s="12"/>
      <c r="E60" s="5"/>
      <c r="F60" s="12"/>
      <c r="G60" s="12"/>
      <c r="H60" s="5"/>
      <c r="I60" s="5"/>
      <c r="J60" s="5"/>
      <c r="K60" s="12"/>
      <c r="L60" s="12"/>
      <c r="M60" s="5"/>
      <c r="N60" s="11"/>
      <c r="O60" s="5"/>
      <c r="P60" s="5"/>
      <c r="Q60" s="12"/>
      <c r="R60" s="12"/>
    </row>
    <row r="61" spans="1:18" ht="15.75">
      <c r="A61" s="13"/>
      <c r="B61" s="12"/>
      <c r="C61" s="12"/>
      <c r="D61" s="12"/>
      <c r="E61" s="12"/>
      <c r="F61" s="12"/>
      <c r="G61" s="12"/>
      <c r="H61" s="7"/>
      <c r="I61" s="5"/>
      <c r="J61" s="7"/>
      <c r="K61" s="12"/>
      <c r="L61" s="12"/>
      <c r="M61" s="7"/>
      <c r="N61" s="5"/>
      <c r="O61" s="7"/>
      <c r="P61" s="5"/>
      <c r="Q61" s="12"/>
      <c r="R61" s="12"/>
    </row>
    <row r="62" spans="1:18" ht="15.75">
      <c r="A62" s="13"/>
      <c r="B62" s="12" t="s">
        <v>55</v>
      </c>
      <c r="C62" s="12" t="s">
        <v>56</v>
      </c>
      <c r="D62" s="12"/>
      <c r="E62" s="12"/>
      <c r="F62" s="12"/>
      <c r="G62" s="12"/>
      <c r="H62" s="5">
        <f>SUM(H53:H60)</f>
        <v>1120</v>
      </c>
      <c r="I62" s="5"/>
      <c r="J62" s="5"/>
      <c r="K62" s="12"/>
      <c r="L62" s="12"/>
      <c r="M62" s="5">
        <f>SUM(M53:M60)</f>
        <v>2962</v>
      </c>
      <c r="N62" s="5"/>
      <c r="O62" s="5"/>
      <c r="P62" s="5"/>
      <c r="Q62" s="12"/>
      <c r="R62" s="12"/>
    </row>
    <row r="63" spans="1:18" ht="15.75">
      <c r="A63" s="13"/>
      <c r="B63" s="12"/>
      <c r="C63" s="12" t="s">
        <v>57</v>
      </c>
      <c r="D63" s="12"/>
      <c r="E63" s="12"/>
      <c r="F63" s="12"/>
      <c r="G63" s="12"/>
      <c r="H63" s="5"/>
      <c r="I63" s="5"/>
      <c r="J63" s="5"/>
      <c r="K63" s="12"/>
      <c r="L63" s="12"/>
      <c r="M63" s="5"/>
      <c r="N63" s="5"/>
      <c r="O63" s="5"/>
      <c r="P63" s="5"/>
      <c r="Q63" s="12"/>
      <c r="R63" s="12"/>
    </row>
    <row r="64" spans="1:18" ht="15.75">
      <c r="A64" s="13"/>
      <c r="B64" s="12"/>
      <c r="C64" s="12"/>
      <c r="D64" s="12"/>
      <c r="E64" s="12"/>
      <c r="F64" s="12"/>
      <c r="G64" s="12"/>
      <c r="H64" s="14"/>
      <c r="I64" s="5"/>
      <c r="J64" s="14"/>
      <c r="K64" s="12"/>
      <c r="L64" s="12"/>
      <c r="M64" s="14"/>
      <c r="N64" s="5"/>
      <c r="O64" s="14"/>
      <c r="P64" s="5"/>
      <c r="Q64" s="12"/>
      <c r="R64" s="12"/>
    </row>
    <row r="65" spans="1:18" ht="15.75">
      <c r="A65" s="13" t="s">
        <v>58</v>
      </c>
      <c r="B65" s="5" t="s">
        <v>15</v>
      </c>
      <c r="C65" s="12" t="s">
        <v>59</v>
      </c>
      <c r="D65" s="12"/>
      <c r="E65" s="12"/>
      <c r="F65" s="12"/>
      <c r="G65" s="12"/>
      <c r="H65" s="5"/>
      <c r="I65" s="5"/>
      <c r="J65" s="5"/>
      <c r="K65" s="12"/>
      <c r="L65" s="12"/>
      <c r="M65" s="5"/>
      <c r="N65" s="5"/>
      <c r="O65" s="5"/>
      <c r="P65" s="5"/>
      <c r="Q65" s="12"/>
      <c r="R65" s="12"/>
    </row>
    <row r="66" spans="1:18" ht="15.75">
      <c r="A66" s="13"/>
      <c r="C66" s="12" t="s">
        <v>60</v>
      </c>
      <c r="D66" s="12"/>
      <c r="E66" s="12"/>
      <c r="F66" s="12"/>
      <c r="G66" s="12"/>
      <c r="H66" s="5"/>
      <c r="I66" s="5"/>
      <c r="J66" s="5"/>
      <c r="K66" s="12"/>
      <c r="L66" s="12"/>
      <c r="M66" s="5"/>
      <c r="N66" s="5"/>
      <c r="O66" s="5"/>
      <c r="P66" s="5"/>
      <c r="Q66" s="12"/>
      <c r="R66" s="12"/>
    </row>
    <row r="67" spans="1:18" ht="15.75">
      <c r="A67" s="13"/>
      <c r="B67" s="12"/>
      <c r="C67" s="12"/>
      <c r="D67" s="12"/>
      <c r="E67" s="12"/>
      <c r="F67" s="12"/>
      <c r="G67" s="12"/>
      <c r="H67" s="5"/>
      <c r="I67" s="5"/>
      <c r="J67" s="5"/>
      <c r="K67" s="12"/>
      <c r="L67" s="12"/>
      <c r="M67" s="5"/>
      <c r="N67" s="5"/>
      <c r="O67" s="5"/>
      <c r="P67" s="5"/>
      <c r="Q67" s="12"/>
      <c r="R67" s="12"/>
    </row>
    <row r="68" spans="1:19" ht="15.75">
      <c r="A68" s="13"/>
      <c r="C68" s="12" t="s">
        <v>61</v>
      </c>
      <c r="D68" s="12"/>
      <c r="E68" s="12"/>
      <c r="F68" s="5"/>
      <c r="G68" s="5"/>
      <c r="H68" s="15">
        <f>H55/38888*100</f>
        <v>2.880065830076116</v>
      </c>
      <c r="I68" s="5"/>
      <c r="J68" s="5"/>
      <c r="K68" s="5"/>
      <c r="L68" s="5"/>
      <c r="M68" s="15">
        <f>M55/38888*100</f>
        <v>7.616745525612013</v>
      </c>
      <c r="N68" s="5"/>
      <c r="O68" s="5"/>
      <c r="P68" s="5"/>
      <c r="Q68" s="5"/>
      <c r="R68" s="5"/>
      <c r="S68" s="2"/>
    </row>
    <row r="69" spans="1:19" ht="15.75">
      <c r="A69" s="9"/>
      <c r="C69" s="5" t="s">
        <v>62</v>
      </c>
      <c r="D69" s="5"/>
      <c r="E69" s="5"/>
      <c r="F69" s="5"/>
      <c r="G69" s="5"/>
      <c r="H69" s="15"/>
      <c r="I69" s="5"/>
      <c r="J69" s="5"/>
      <c r="K69" s="5"/>
      <c r="L69" s="5"/>
      <c r="M69" s="15"/>
      <c r="N69" s="5"/>
      <c r="O69" s="5"/>
      <c r="P69" s="5"/>
      <c r="Q69" s="5"/>
      <c r="R69" s="5"/>
      <c r="S69" s="2"/>
    </row>
    <row r="70" spans="1:19" ht="15.75">
      <c r="A70" s="9"/>
      <c r="B70" s="5" t="s">
        <v>63</v>
      </c>
      <c r="C70" s="5"/>
      <c r="D70" s="5"/>
      <c r="E70" s="5"/>
      <c r="F70" s="5"/>
      <c r="G70" s="5"/>
      <c r="H70" s="15"/>
      <c r="I70" s="5"/>
      <c r="J70" s="5"/>
      <c r="K70" s="5"/>
      <c r="L70" s="5"/>
      <c r="M70" s="15"/>
      <c r="N70" s="5"/>
      <c r="O70" s="5"/>
      <c r="P70" s="5"/>
      <c r="Q70" s="5"/>
      <c r="R70" s="5"/>
      <c r="S70" s="2"/>
    </row>
    <row r="71" spans="1:19" ht="15.75">
      <c r="A71" s="9"/>
      <c r="C71" s="5" t="s">
        <v>64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2"/>
    </row>
    <row r="72" spans="1:19" ht="15.75">
      <c r="A72" s="9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2"/>
    </row>
    <row r="73" spans="1:19" ht="15.75">
      <c r="A73" s="9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2"/>
    </row>
    <row r="74" spans="1:19" ht="0.75" customHeight="1" hidden="1">
      <c r="A74" s="9"/>
      <c r="B74" s="5" t="s">
        <v>19</v>
      </c>
      <c r="C74" s="5" t="s">
        <v>65</v>
      </c>
      <c r="D74" s="5"/>
      <c r="E74" s="5"/>
      <c r="F74" s="5"/>
      <c r="G74" s="5"/>
      <c r="H74" s="5">
        <v>231</v>
      </c>
      <c r="I74" s="5"/>
      <c r="J74" s="5">
        <v>231</v>
      </c>
      <c r="K74" s="5"/>
      <c r="L74" s="5"/>
      <c r="M74" s="5">
        <v>6090</v>
      </c>
      <c r="N74" s="12"/>
      <c r="O74" s="5">
        <v>6090</v>
      </c>
      <c r="P74" s="5"/>
      <c r="Q74" s="5"/>
      <c r="R74" s="5"/>
      <c r="S74" s="2"/>
    </row>
    <row r="75" spans="1:19" ht="15.75" customHeight="1" hidden="1">
      <c r="A75" s="9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2"/>
    </row>
    <row r="76" spans="1:19" ht="15.75" customHeight="1">
      <c r="A76" s="9">
        <v>4</v>
      </c>
      <c r="B76" s="5" t="s">
        <v>66</v>
      </c>
      <c r="C76" s="5"/>
      <c r="D76" s="5"/>
      <c r="E76" s="5"/>
      <c r="F76" s="5"/>
      <c r="G76" s="5"/>
      <c r="H76" s="8" t="s">
        <v>51</v>
      </c>
      <c r="I76" s="5"/>
      <c r="J76" s="5"/>
      <c r="K76" s="5"/>
      <c r="L76" s="5"/>
      <c r="M76" s="8" t="s">
        <v>51</v>
      </c>
      <c r="N76" s="5"/>
      <c r="O76" s="5"/>
      <c r="P76" s="5"/>
      <c r="Q76" s="5"/>
      <c r="R76" s="5"/>
      <c r="S76" s="2"/>
    </row>
    <row r="77" spans="1:19" ht="15.75" customHeight="1">
      <c r="A77" s="9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2"/>
    </row>
    <row r="78" spans="1:19" ht="15.75">
      <c r="A78" s="9"/>
      <c r="B78" s="5"/>
      <c r="C78" s="5"/>
      <c r="D78" s="5"/>
      <c r="E78" s="5"/>
      <c r="F78" s="5"/>
      <c r="G78" s="5"/>
      <c r="H78" s="14"/>
      <c r="I78" s="5"/>
      <c r="J78" s="14"/>
      <c r="K78" s="5"/>
      <c r="L78" s="5"/>
      <c r="M78" s="16"/>
      <c r="N78" s="5"/>
      <c r="O78" s="16"/>
      <c r="P78" s="5"/>
      <c r="Q78" s="5"/>
      <c r="R78" s="5"/>
      <c r="S78" s="2"/>
    </row>
    <row r="79" spans="1:19" ht="15.75">
      <c r="A79" s="9" t="s">
        <v>67</v>
      </c>
      <c r="B79" s="5" t="s">
        <v>68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11"/>
      <c r="N79" s="5"/>
      <c r="O79" s="11"/>
      <c r="P79" s="5"/>
      <c r="Q79" s="5"/>
      <c r="R79" s="5"/>
      <c r="S79" s="2"/>
    </row>
    <row r="80" spans="1:19" ht="15.75">
      <c r="A80" s="9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11"/>
      <c r="N80" s="5"/>
      <c r="O80" s="11"/>
      <c r="P80" s="5"/>
      <c r="Q80" s="5"/>
      <c r="R80" s="5"/>
      <c r="S80" s="2"/>
    </row>
    <row r="81" spans="1:19" ht="15.75">
      <c r="A81" s="9" t="s">
        <v>69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11"/>
      <c r="N81" s="5"/>
      <c r="O81" s="11"/>
      <c r="P81" s="5"/>
      <c r="Q81" s="5"/>
      <c r="R81" s="5"/>
      <c r="S81" s="2"/>
    </row>
    <row r="82" spans="1:19" ht="15.75">
      <c r="A82" s="9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11"/>
      <c r="N82" s="5"/>
      <c r="O82" s="11"/>
      <c r="P82" s="5"/>
      <c r="Q82" s="5"/>
      <c r="R82" s="5"/>
      <c r="S82" s="2"/>
    </row>
    <row r="83" spans="1:19" ht="15.75">
      <c r="A83" s="9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11"/>
      <c r="N83" s="5"/>
      <c r="O83" s="11"/>
      <c r="P83" s="5"/>
      <c r="Q83" s="5"/>
      <c r="R83" s="5"/>
      <c r="S83" s="2"/>
    </row>
    <row r="84" spans="1:19" ht="15.75">
      <c r="A84" s="9"/>
      <c r="B84" s="5"/>
      <c r="C84" s="5"/>
      <c r="D84" s="5"/>
      <c r="E84" s="5"/>
      <c r="F84" s="5"/>
      <c r="G84" s="5"/>
      <c r="H84" s="8" t="s">
        <v>70</v>
      </c>
      <c r="I84" s="8"/>
      <c r="J84" s="8" t="s">
        <v>71</v>
      </c>
      <c r="K84" s="5"/>
      <c r="L84" s="5"/>
      <c r="M84" s="11"/>
      <c r="N84" s="5"/>
      <c r="O84" s="11"/>
      <c r="P84" s="5"/>
      <c r="Q84" s="5"/>
      <c r="R84" s="5"/>
      <c r="S84" s="2"/>
    </row>
    <row r="85" spans="1:19" ht="15.75">
      <c r="A85" s="9"/>
      <c r="B85" s="5"/>
      <c r="C85" s="5"/>
      <c r="D85" s="5"/>
      <c r="E85" s="5"/>
      <c r="F85" s="5"/>
      <c r="G85" s="5"/>
      <c r="H85" s="8" t="s">
        <v>72</v>
      </c>
      <c r="I85" s="8"/>
      <c r="J85" s="8" t="s">
        <v>73</v>
      </c>
      <c r="K85" s="5"/>
      <c r="L85" s="5"/>
      <c r="M85" s="11"/>
      <c r="N85" s="5"/>
      <c r="O85" s="11"/>
      <c r="P85" s="5"/>
      <c r="Q85" s="5"/>
      <c r="R85" s="5"/>
      <c r="S85" s="2"/>
    </row>
    <row r="86" spans="1:19" ht="15.75">
      <c r="A86" s="9"/>
      <c r="B86" s="5"/>
      <c r="C86" s="5"/>
      <c r="D86" s="5"/>
      <c r="E86" s="5"/>
      <c r="F86" s="5"/>
      <c r="G86" s="5"/>
      <c r="H86" s="8" t="s">
        <v>74</v>
      </c>
      <c r="I86" s="8"/>
      <c r="J86" s="8" t="s">
        <v>75</v>
      </c>
      <c r="K86" s="5"/>
      <c r="L86" s="5"/>
      <c r="M86" s="11"/>
      <c r="N86" s="5"/>
      <c r="O86" s="11"/>
      <c r="P86" s="5"/>
      <c r="Q86" s="5"/>
      <c r="R86" s="5"/>
      <c r="S86" s="2"/>
    </row>
    <row r="87" spans="1:19" ht="15.75">
      <c r="A87" s="9"/>
      <c r="B87" s="5"/>
      <c r="C87" s="5"/>
      <c r="D87" s="5"/>
      <c r="E87" s="5"/>
      <c r="F87" s="5"/>
      <c r="G87" s="5"/>
      <c r="H87" s="8" t="s">
        <v>76</v>
      </c>
      <c r="I87" s="8"/>
      <c r="J87" s="8" t="s">
        <v>77</v>
      </c>
      <c r="K87" s="5"/>
      <c r="L87" s="5"/>
      <c r="M87" s="11"/>
      <c r="N87" s="5"/>
      <c r="O87" s="11"/>
      <c r="P87" s="5"/>
      <c r="Q87" s="5"/>
      <c r="R87" s="5"/>
      <c r="S87" s="2"/>
    </row>
    <row r="88" spans="1:19" ht="15.75">
      <c r="A88" s="9"/>
      <c r="B88" s="5"/>
      <c r="C88" s="5"/>
      <c r="D88" s="5"/>
      <c r="E88" s="5"/>
      <c r="F88" s="5"/>
      <c r="G88" s="5"/>
      <c r="H88" s="8" t="s">
        <v>78</v>
      </c>
      <c r="I88" s="8"/>
      <c r="J88" s="8" t="s">
        <v>79</v>
      </c>
      <c r="K88" s="5"/>
      <c r="L88" s="5"/>
      <c r="M88" s="11"/>
      <c r="N88" s="5"/>
      <c r="O88" s="11"/>
      <c r="P88" s="5"/>
      <c r="Q88" s="5"/>
      <c r="R88" s="5"/>
      <c r="S88" s="2"/>
    </row>
    <row r="89" spans="1:19" ht="15.75">
      <c r="A89" s="9"/>
      <c r="B89" s="5"/>
      <c r="C89" s="5"/>
      <c r="D89" s="5"/>
      <c r="E89" s="5"/>
      <c r="F89" s="5"/>
      <c r="G89" s="5"/>
      <c r="H89" s="8" t="s">
        <v>80</v>
      </c>
      <c r="I89" s="5"/>
      <c r="J89" s="8" t="s">
        <v>80</v>
      </c>
      <c r="K89" s="5"/>
      <c r="L89" s="5"/>
      <c r="M89" s="11"/>
      <c r="N89" s="5"/>
      <c r="O89" s="11"/>
      <c r="P89" s="5"/>
      <c r="Q89" s="5"/>
      <c r="R89" s="5"/>
      <c r="S89" s="2"/>
    </row>
    <row r="90" spans="1:19" ht="15.75">
      <c r="A90" s="9">
        <v>1</v>
      </c>
      <c r="B90" s="5" t="s">
        <v>81</v>
      </c>
      <c r="C90" s="5"/>
      <c r="D90" s="5"/>
      <c r="E90" s="5"/>
      <c r="F90" s="5"/>
      <c r="G90" s="5"/>
      <c r="H90" s="5">
        <v>57436</v>
      </c>
      <c r="I90" s="5"/>
      <c r="J90" s="5">
        <v>53109</v>
      </c>
      <c r="K90" s="5"/>
      <c r="L90" s="5"/>
      <c r="M90" s="11"/>
      <c r="N90" s="5"/>
      <c r="O90" s="11"/>
      <c r="P90" s="5"/>
      <c r="Q90" s="5"/>
      <c r="R90" s="5"/>
      <c r="S90" s="2"/>
    </row>
    <row r="91" spans="1:19" ht="15.75">
      <c r="A91" s="9">
        <v>2</v>
      </c>
      <c r="B91" s="5" t="s">
        <v>82</v>
      </c>
      <c r="C91" s="5"/>
      <c r="D91" s="5"/>
      <c r="E91" s="5"/>
      <c r="F91" s="5"/>
      <c r="G91" s="5"/>
      <c r="H91" s="5">
        <v>0</v>
      </c>
      <c r="I91" s="5"/>
      <c r="J91" s="5">
        <v>126</v>
      </c>
      <c r="K91" s="5"/>
      <c r="L91" s="5"/>
      <c r="M91" s="11"/>
      <c r="N91" s="5"/>
      <c r="O91" s="11"/>
      <c r="P91" s="5"/>
      <c r="Q91" s="5"/>
      <c r="R91" s="5"/>
      <c r="S91" s="2"/>
    </row>
    <row r="92" spans="1:19" ht="15.75">
      <c r="A92" s="9">
        <v>3</v>
      </c>
      <c r="B92" s="5" t="s">
        <v>83</v>
      </c>
      <c r="C92" s="5"/>
      <c r="D92" s="5"/>
      <c r="E92" s="5"/>
      <c r="F92" s="5"/>
      <c r="G92" s="5"/>
      <c r="H92" s="5">
        <v>1143</v>
      </c>
      <c r="I92" s="5"/>
      <c r="J92" s="5">
        <v>283</v>
      </c>
      <c r="K92" s="5"/>
      <c r="L92" s="5"/>
      <c r="M92" s="11"/>
      <c r="N92" s="5"/>
      <c r="O92" s="11"/>
      <c r="P92" s="5"/>
      <c r="Q92" s="5"/>
      <c r="R92" s="5"/>
      <c r="S92" s="2"/>
    </row>
    <row r="93" spans="1:19" ht="15.75">
      <c r="A93" s="9">
        <v>4</v>
      </c>
      <c r="B93" s="5" t="s">
        <v>84</v>
      </c>
      <c r="C93" s="5"/>
      <c r="D93" s="5"/>
      <c r="E93" s="5"/>
      <c r="F93" s="5"/>
      <c r="G93" s="5"/>
      <c r="H93" s="5">
        <v>2086</v>
      </c>
      <c r="I93" s="5"/>
      <c r="J93" s="5">
        <v>2094</v>
      </c>
      <c r="K93" s="5"/>
      <c r="L93" s="5"/>
      <c r="M93" s="11"/>
      <c r="N93" s="5"/>
      <c r="O93" s="11"/>
      <c r="P93" s="5"/>
      <c r="Q93" s="5"/>
      <c r="R93" s="5"/>
      <c r="S93" s="2"/>
    </row>
    <row r="94" spans="1:19" ht="15.75">
      <c r="A94" s="9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11"/>
      <c r="N94" s="5"/>
      <c r="O94" s="11"/>
      <c r="P94" s="5"/>
      <c r="Q94" s="5"/>
      <c r="R94" s="5"/>
      <c r="S94" s="2"/>
    </row>
    <row r="95" spans="1:19" ht="15.75">
      <c r="A95" s="9">
        <v>5</v>
      </c>
      <c r="B95" s="5" t="s">
        <v>85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11"/>
      <c r="N95" s="5"/>
      <c r="O95" s="11"/>
      <c r="P95" s="5"/>
      <c r="Q95" s="5"/>
      <c r="R95" s="5"/>
      <c r="S95" s="2"/>
    </row>
    <row r="96" spans="1:19" ht="15.75">
      <c r="A96" s="9"/>
      <c r="B96" s="5"/>
      <c r="C96" s="17" t="s">
        <v>86</v>
      </c>
      <c r="D96" s="5"/>
      <c r="E96" s="5"/>
      <c r="F96" s="5"/>
      <c r="G96" s="5"/>
      <c r="H96" s="18">
        <v>25240</v>
      </c>
      <c r="I96" s="19"/>
      <c r="J96" s="18">
        <v>24101</v>
      </c>
      <c r="K96" s="19"/>
      <c r="L96" s="5"/>
      <c r="M96" s="11"/>
      <c r="N96" s="5"/>
      <c r="O96" s="11"/>
      <c r="P96" s="5"/>
      <c r="Q96" s="5"/>
      <c r="R96" s="5"/>
      <c r="S96" s="2"/>
    </row>
    <row r="97" spans="1:19" ht="15.75">
      <c r="A97" s="9"/>
      <c r="B97" s="5"/>
      <c r="C97" s="17" t="s">
        <v>87</v>
      </c>
      <c r="D97" s="5"/>
      <c r="E97" s="5"/>
      <c r="F97" s="5"/>
      <c r="G97" s="5"/>
      <c r="H97" s="19">
        <v>31193</v>
      </c>
      <c r="I97" s="19"/>
      <c r="J97" s="19">
        <v>18568</v>
      </c>
      <c r="K97" s="19"/>
      <c r="L97" s="5"/>
      <c r="M97" s="11"/>
      <c r="N97" s="5"/>
      <c r="O97" s="11"/>
      <c r="P97" s="5"/>
      <c r="Q97" s="5"/>
      <c r="R97" s="5"/>
      <c r="S97" s="2"/>
    </row>
    <row r="98" spans="1:19" ht="15.75">
      <c r="A98" s="9"/>
      <c r="B98" s="5"/>
      <c r="C98" s="17" t="s">
        <v>88</v>
      </c>
      <c r="D98" s="5"/>
      <c r="E98" s="5"/>
      <c r="F98" s="5"/>
      <c r="G98" s="5"/>
      <c r="H98" s="19">
        <v>3578</v>
      </c>
      <c r="I98" s="19"/>
      <c r="J98" s="19">
        <f>5869+27</f>
        <v>5896</v>
      </c>
      <c r="K98" s="19"/>
      <c r="L98" s="5"/>
      <c r="M98" s="11"/>
      <c r="N98" s="5"/>
      <c r="O98" s="11"/>
      <c r="P98" s="5"/>
      <c r="Q98" s="5"/>
      <c r="R98" s="5"/>
      <c r="S98" s="2"/>
    </row>
    <row r="99" spans="1:19" ht="15.75">
      <c r="A99" s="9"/>
      <c r="B99" s="5"/>
      <c r="C99" s="17" t="s">
        <v>89</v>
      </c>
      <c r="D99" s="5"/>
      <c r="E99" s="5"/>
      <c r="F99" s="5"/>
      <c r="G99" s="5"/>
      <c r="H99" s="19">
        <v>656</v>
      </c>
      <c r="I99" s="19"/>
      <c r="J99" s="19">
        <f>1433+1205</f>
        <v>2638</v>
      </c>
      <c r="K99" s="19"/>
      <c r="L99" s="5"/>
      <c r="M99" s="11"/>
      <c r="N99" s="5"/>
      <c r="O99" s="11"/>
      <c r="P99" s="5"/>
      <c r="Q99" s="5"/>
      <c r="R99" s="5"/>
      <c r="S99" s="2"/>
    </row>
    <row r="100" spans="1:19" ht="15.75">
      <c r="A100" s="9"/>
      <c r="B100" s="5"/>
      <c r="C100" s="17" t="s">
        <v>90</v>
      </c>
      <c r="D100" s="5"/>
      <c r="E100" s="5"/>
      <c r="F100" s="5"/>
      <c r="G100" s="5"/>
      <c r="H100" s="19">
        <v>654</v>
      </c>
      <c r="I100" s="19"/>
      <c r="J100" s="19">
        <v>1172</v>
      </c>
      <c r="K100" s="19"/>
      <c r="L100" s="5"/>
      <c r="M100" s="11"/>
      <c r="N100" s="5"/>
      <c r="O100" s="11"/>
      <c r="P100" s="5"/>
      <c r="Q100" s="5"/>
      <c r="R100" s="5"/>
      <c r="S100" s="2"/>
    </row>
    <row r="101" spans="1:19" ht="15.75">
      <c r="A101" s="9"/>
      <c r="B101" s="5"/>
      <c r="C101" s="5"/>
      <c r="D101" s="5"/>
      <c r="E101" s="5"/>
      <c r="F101" s="5"/>
      <c r="G101" s="5"/>
      <c r="H101" s="18">
        <f>SUM(H96:H100)</f>
        <v>61321</v>
      </c>
      <c r="I101" s="19"/>
      <c r="J101" s="18">
        <f>SUM(J96:J100)</f>
        <v>52375</v>
      </c>
      <c r="K101" s="19"/>
      <c r="L101" s="5"/>
      <c r="M101" s="11"/>
      <c r="N101" s="5"/>
      <c r="O101" s="11"/>
      <c r="P101" s="5"/>
      <c r="Q101" s="5"/>
      <c r="R101" s="5"/>
      <c r="S101" s="2"/>
    </row>
    <row r="102" spans="1:19" ht="15.75">
      <c r="A102" s="9"/>
      <c r="B102" s="5"/>
      <c r="C102" s="5"/>
      <c r="D102" s="5"/>
      <c r="E102" s="5"/>
      <c r="F102" s="5"/>
      <c r="G102" s="5"/>
      <c r="H102" s="7"/>
      <c r="I102" s="5"/>
      <c r="J102" s="7"/>
      <c r="K102" s="5"/>
      <c r="L102" s="5"/>
      <c r="M102" s="11"/>
      <c r="N102" s="5"/>
      <c r="O102" s="11"/>
      <c r="P102" s="5"/>
      <c r="Q102" s="5"/>
      <c r="R102" s="5"/>
      <c r="S102" s="2"/>
    </row>
    <row r="103" spans="1:19" ht="15.75">
      <c r="A103" s="9">
        <v>6</v>
      </c>
      <c r="B103" s="5" t="s">
        <v>91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11"/>
      <c r="N103" s="5"/>
      <c r="O103" s="11"/>
      <c r="P103" s="5"/>
      <c r="Q103" s="5"/>
      <c r="R103" s="5"/>
      <c r="S103" s="2"/>
    </row>
    <row r="104" spans="1:19" ht="15.75">
      <c r="A104" s="9"/>
      <c r="B104" s="5"/>
      <c r="C104" s="17" t="s">
        <v>92</v>
      </c>
      <c r="D104" s="5"/>
      <c r="E104" s="5"/>
      <c r="F104" s="5"/>
      <c r="G104" s="5"/>
      <c r="H104" s="20">
        <f>23837+2766</f>
        <v>26603</v>
      </c>
      <c r="I104" s="19"/>
      <c r="J104" s="18">
        <f>10081+2160</f>
        <v>12241</v>
      </c>
      <c r="K104" s="19"/>
      <c r="L104" s="5"/>
      <c r="M104" s="11"/>
      <c r="N104" s="5"/>
      <c r="O104" s="11"/>
      <c r="P104" s="5"/>
      <c r="Q104" s="5"/>
      <c r="R104" s="5"/>
      <c r="S104" s="2"/>
    </row>
    <row r="105" spans="1:19" ht="15.75">
      <c r="A105" s="9"/>
      <c r="B105" s="5"/>
      <c r="C105" s="17" t="s">
        <v>93</v>
      </c>
      <c r="D105" s="5"/>
      <c r="E105" s="5"/>
      <c r="F105" s="5"/>
      <c r="G105" s="5"/>
      <c r="H105" s="19">
        <v>4703</v>
      </c>
      <c r="I105" s="19"/>
      <c r="J105" s="19">
        <v>3838</v>
      </c>
      <c r="K105" s="19"/>
      <c r="L105" s="5"/>
      <c r="M105" s="11"/>
      <c r="N105" s="5"/>
      <c r="O105" s="11"/>
      <c r="P105" s="5"/>
      <c r="Q105" s="5"/>
      <c r="R105" s="5"/>
      <c r="S105" s="2"/>
    </row>
    <row r="106" spans="1:19" ht="15.75">
      <c r="A106" s="9"/>
      <c r="B106" s="5"/>
      <c r="C106" s="17" t="s">
        <v>94</v>
      </c>
      <c r="D106" s="5"/>
      <c r="E106" s="5"/>
      <c r="F106" s="5"/>
      <c r="G106" s="5"/>
      <c r="H106" s="19">
        <f>2528+4</f>
        <v>2532</v>
      </c>
      <c r="I106" s="19"/>
      <c r="J106" s="19">
        <f>4315+8</f>
        <v>4323</v>
      </c>
      <c r="K106" s="19"/>
      <c r="L106" s="5"/>
      <c r="M106" s="11"/>
      <c r="N106" s="5"/>
      <c r="O106" s="11"/>
      <c r="P106" s="5"/>
      <c r="Q106" s="5"/>
      <c r="R106" s="5"/>
      <c r="S106" s="2"/>
    </row>
    <row r="107" spans="1:19" ht="15.75">
      <c r="A107" s="9"/>
      <c r="B107" s="5"/>
      <c r="C107" s="17" t="s">
        <v>95</v>
      </c>
      <c r="D107" s="5"/>
      <c r="E107" s="5"/>
      <c r="F107" s="5"/>
      <c r="G107" s="5"/>
      <c r="H107" s="19">
        <v>514</v>
      </c>
      <c r="I107" s="19"/>
      <c r="J107" s="19">
        <v>1917</v>
      </c>
      <c r="K107" s="19"/>
      <c r="L107" s="5"/>
      <c r="M107" s="11"/>
      <c r="N107" s="5"/>
      <c r="O107" s="11"/>
      <c r="P107" s="5"/>
      <c r="Q107" s="5"/>
      <c r="R107" s="5"/>
      <c r="S107" s="2"/>
    </row>
    <row r="108" spans="1:19" ht="15.75">
      <c r="A108" s="9"/>
      <c r="B108" s="5"/>
      <c r="C108" s="17" t="s">
        <v>96</v>
      </c>
      <c r="D108" s="5"/>
      <c r="E108" s="5"/>
      <c r="F108" s="5"/>
      <c r="G108" s="5"/>
      <c r="H108" s="19">
        <v>15</v>
      </c>
      <c r="I108" s="19"/>
      <c r="J108" s="19">
        <v>2100</v>
      </c>
      <c r="K108" s="19"/>
      <c r="L108" s="5"/>
      <c r="M108" s="11"/>
      <c r="N108" s="5"/>
      <c r="O108" s="11"/>
      <c r="P108" s="5"/>
      <c r="Q108" s="5"/>
      <c r="R108" s="5"/>
      <c r="S108" s="2"/>
    </row>
    <row r="109" spans="1:19" ht="15.75">
      <c r="A109" s="9"/>
      <c r="B109" s="5"/>
      <c r="C109" s="5"/>
      <c r="D109" s="5"/>
      <c r="E109" s="5"/>
      <c r="F109" s="5"/>
      <c r="G109" s="5"/>
      <c r="H109" s="20">
        <f>SUM(H104:H108)</f>
        <v>34367</v>
      </c>
      <c r="I109" s="19"/>
      <c r="J109" s="18">
        <f>SUM(J104:J108)</f>
        <v>24419</v>
      </c>
      <c r="K109" s="19"/>
      <c r="L109" s="5"/>
      <c r="M109" s="11"/>
      <c r="N109" s="5"/>
      <c r="O109" s="11"/>
      <c r="P109" s="5"/>
      <c r="Q109" s="5"/>
      <c r="R109" s="5"/>
      <c r="S109" s="2"/>
    </row>
    <row r="110" spans="1:19" ht="15.75">
      <c r="A110" s="9"/>
      <c r="B110" s="5"/>
      <c r="C110" s="5"/>
      <c r="D110" s="5"/>
      <c r="E110" s="5"/>
      <c r="F110" s="5"/>
      <c r="G110" s="5"/>
      <c r="H110" s="7"/>
      <c r="I110" s="5"/>
      <c r="J110" s="7"/>
      <c r="K110" s="5"/>
      <c r="L110" s="5"/>
      <c r="M110" s="11"/>
      <c r="N110" s="5"/>
      <c r="O110" s="11"/>
      <c r="P110" s="5"/>
      <c r="Q110" s="5"/>
      <c r="R110" s="5"/>
      <c r="S110" s="2"/>
    </row>
    <row r="111" spans="1:19" ht="15.75">
      <c r="A111" s="9">
        <v>7</v>
      </c>
      <c r="B111" s="5" t="s">
        <v>97</v>
      </c>
      <c r="C111" s="5"/>
      <c r="D111" s="5"/>
      <c r="E111" s="5"/>
      <c r="F111" s="5"/>
      <c r="G111" s="5"/>
      <c r="H111" s="10">
        <f>H101-H109</f>
        <v>26954</v>
      </c>
      <c r="I111" s="5"/>
      <c r="J111" s="5">
        <f>J101-J109</f>
        <v>27956</v>
      </c>
      <c r="K111" s="5"/>
      <c r="L111" s="5"/>
      <c r="M111" s="11"/>
      <c r="N111" s="5"/>
      <c r="O111" s="11"/>
      <c r="P111" s="5"/>
      <c r="Q111" s="5"/>
      <c r="R111" s="5"/>
      <c r="S111" s="2"/>
    </row>
    <row r="112" spans="1:19" ht="15.75">
      <c r="A112" s="9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11"/>
      <c r="N112" s="5"/>
      <c r="O112" s="11"/>
      <c r="P112" s="5"/>
      <c r="Q112" s="5"/>
      <c r="R112" s="5"/>
      <c r="S112" s="2"/>
    </row>
    <row r="113" spans="1:19" ht="15.75">
      <c r="A113" s="9"/>
      <c r="B113" s="5"/>
      <c r="C113" s="5"/>
      <c r="D113" s="5"/>
      <c r="E113" s="5"/>
      <c r="F113" s="5"/>
      <c r="G113" s="5"/>
      <c r="H113" s="21">
        <f>H111+SUM(H90:H93)</f>
        <v>87619</v>
      </c>
      <c r="I113" s="5"/>
      <c r="J113" s="7">
        <f>J111+SUM(J90:J93)</f>
        <v>83568</v>
      </c>
      <c r="K113" s="5"/>
      <c r="L113" s="5"/>
      <c r="M113" s="11"/>
      <c r="N113" s="5"/>
      <c r="O113" s="11"/>
      <c r="P113" s="5"/>
      <c r="Q113" s="5"/>
      <c r="R113" s="5"/>
      <c r="S113" s="2"/>
    </row>
    <row r="114" spans="1:19" ht="15.75">
      <c r="A114" s="9"/>
      <c r="B114" s="5"/>
      <c r="C114" s="5"/>
      <c r="D114" s="5"/>
      <c r="E114" s="5"/>
      <c r="F114" s="5"/>
      <c r="G114" s="5"/>
      <c r="H114" s="14"/>
      <c r="I114" s="5"/>
      <c r="J114" s="14"/>
      <c r="K114" s="5"/>
      <c r="L114" s="5"/>
      <c r="M114" s="11"/>
      <c r="N114" s="5"/>
      <c r="O114" s="11"/>
      <c r="P114" s="5"/>
      <c r="Q114" s="5"/>
      <c r="R114" s="5"/>
      <c r="S114" s="2"/>
    </row>
    <row r="115" spans="1:19" ht="15.75">
      <c r="A115" s="9">
        <v>8</v>
      </c>
      <c r="B115" s="5" t="s">
        <v>98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11"/>
      <c r="N115" s="5"/>
      <c r="O115" s="11"/>
      <c r="P115" s="5"/>
      <c r="Q115" s="5"/>
      <c r="R115" s="5"/>
      <c r="S115" s="2"/>
    </row>
    <row r="116" spans="1:19" ht="15.75">
      <c r="A116" s="9"/>
      <c r="B116" s="5"/>
      <c r="C116" s="5" t="s">
        <v>99</v>
      </c>
      <c r="D116" s="5"/>
      <c r="E116" s="5"/>
      <c r="F116" s="5"/>
      <c r="G116" s="5"/>
      <c r="H116" s="18">
        <v>38888</v>
      </c>
      <c r="I116" s="19"/>
      <c r="J116" s="18">
        <v>38888</v>
      </c>
      <c r="K116" s="19"/>
      <c r="L116" s="5"/>
      <c r="M116" s="11"/>
      <c r="N116" s="5"/>
      <c r="O116" s="11"/>
      <c r="P116" s="5"/>
      <c r="Q116" s="5"/>
      <c r="R116" s="5"/>
      <c r="S116" s="2"/>
    </row>
    <row r="117" spans="1:19" ht="15.75">
      <c r="A117" s="9"/>
      <c r="B117" s="5"/>
      <c r="C117" s="5" t="s">
        <v>100</v>
      </c>
      <c r="D117" s="5"/>
      <c r="E117" s="5"/>
      <c r="F117" s="5"/>
      <c r="G117" s="5"/>
      <c r="H117" s="19"/>
      <c r="I117" s="19"/>
      <c r="J117" s="19"/>
      <c r="K117" s="19"/>
      <c r="L117" s="5"/>
      <c r="M117" s="11"/>
      <c r="N117" s="5"/>
      <c r="O117" s="11"/>
      <c r="P117" s="5"/>
      <c r="Q117" s="5"/>
      <c r="R117" s="5"/>
      <c r="S117" s="2"/>
    </row>
    <row r="118" spans="1:19" ht="15.75">
      <c r="A118" s="9"/>
      <c r="B118" s="5"/>
      <c r="C118" s="17" t="s">
        <v>101</v>
      </c>
      <c r="D118" s="5"/>
      <c r="E118" s="5"/>
      <c r="F118" s="5"/>
      <c r="G118" s="5"/>
      <c r="H118" s="19">
        <v>6853</v>
      </c>
      <c r="I118" s="19"/>
      <c r="J118" s="19">
        <v>6853</v>
      </c>
      <c r="K118" s="19"/>
      <c r="L118" s="5"/>
      <c r="M118" s="11"/>
      <c r="N118" s="5"/>
      <c r="O118" s="11"/>
      <c r="P118" s="5"/>
      <c r="Q118" s="5"/>
      <c r="R118" s="5"/>
      <c r="S118" s="2"/>
    </row>
    <row r="119" spans="1:19" ht="15.75">
      <c r="A119" s="9"/>
      <c r="B119" s="5"/>
      <c r="C119" s="17" t="s">
        <v>102</v>
      </c>
      <c r="D119" s="5"/>
      <c r="E119" s="5"/>
      <c r="F119" s="5"/>
      <c r="G119" s="5"/>
      <c r="H119" s="19">
        <v>35498</v>
      </c>
      <c r="I119" s="19"/>
      <c r="J119" s="19">
        <v>32535</v>
      </c>
      <c r="K119" s="19"/>
      <c r="L119" s="5"/>
      <c r="M119" s="11"/>
      <c r="N119" s="5"/>
      <c r="O119" s="11"/>
      <c r="P119" s="5"/>
      <c r="Q119" s="5"/>
      <c r="R119" s="5"/>
      <c r="S119" s="2"/>
    </row>
    <row r="120" spans="1:19" ht="15.75">
      <c r="A120" s="9"/>
      <c r="B120" s="5"/>
      <c r="C120" s="5" t="s">
        <v>103</v>
      </c>
      <c r="D120" s="5"/>
      <c r="E120" s="5"/>
      <c r="F120" s="5"/>
      <c r="G120" s="5"/>
      <c r="H120" s="48">
        <v>-760</v>
      </c>
      <c r="I120" s="19"/>
      <c r="J120" s="19">
        <v>0</v>
      </c>
      <c r="K120" s="19"/>
      <c r="L120" s="5"/>
      <c r="M120" s="11"/>
      <c r="N120" s="5"/>
      <c r="O120" s="11"/>
      <c r="P120" s="5"/>
      <c r="Q120" s="5"/>
      <c r="R120" s="5"/>
      <c r="S120" s="2"/>
    </row>
    <row r="121" spans="1:19" ht="15.75">
      <c r="A121" s="9"/>
      <c r="B121" s="5"/>
      <c r="C121" s="5"/>
      <c r="D121" s="5"/>
      <c r="E121" s="5"/>
      <c r="F121" s="5"/>
      <c r="G121" s="5"/>
      <c r="H121" s="18">
        <f>SUM(H116:H120)</f>
        <v>80479</v>
      </c>
      <c r="I121" s="19"/>
      <c r="J121" s="18">
        <f>SUM(J116:J120)</f>
        <v>78276</v>
      </c>
      <c r="K121" s="19"/>
      <c r="L121" s="5"/>
      <c r="M121" s="11"/>
      <c r="N121" s="5"/>
      <c r="O121" s="11"/>
      <c r="P121" s="5"/>
      <c r="Q121" s="5"/>
      <c r="R121" s="5"/>
      <c r="S121" s="2"/>
    </row>
    <row r="122" spans="1:19" ht="15.75">
      <c r="A122" s="9"/>
      <c r="B122" s="5"/>
      <c r="C122" s="5"/>
      <c r="D122" s="5"/>
      <c r="E122" s="5"/>
      <c r="F122" s="5"/>
      <c r="G122" s="5"/>
      <c r="H122" s="7"/>
      <c r="I122" s="5"/>
      <c r="J122" s="7"/>
      <c r="K122" s="5"/>
      <c r="L122" s="5"/>
      <c r="M122" s="11"/>
      <c r="N122" s="5"/>
      <c r="O122" s="11"/>
      <c r="P122" s="5"/>
      <c r="Q122" s="5"/>
      <c r="R122" s="5"/>
      <c r="S122" s="2"/>
    </row>
    <row r="123" spans="1:19" ht="15.75">
      <c r="A123" s="9">
        <v>9</v>
      </c>
      <c r="B123" s="5" t="s">
        <v>104</v>
      </c>
      <c r="C123" s="5"/>
      <c r="D123" s="5"/>
      <c r="E123" s="5"/>
      <c r="F123" s="5"/>
      <c r="G123" s="5"/>
      <c r="H123" s="5">
        <v>465</v>
      </c>
      <c r="I123" s="5"/>
      <c r="J123" s="5">
        <v>496</v>
      </c>
      <c r="K123" s="5"/>
      <c r="L123" s="5"/>
      <c r="M123" s="11"/>
      <c r="N123" s="5"/>
      <c r="O123" s="11"/>
      <c r="P123" s="5"/>
      <c r="Q123" s="5"/>
      <c r="R123" s="5"/>
      <c r="S123" s="2"/>
    </row>
    <row r="124" spans="1:19" ht="15.75">
      <c r="A124" s="9">
        <v>10</v>
      </c>
      <c r="B124" s="5" t="s">
        <v>105</v>
      </c>
      <c r="C124" s="5"/>
      <c r="D124" s="5"/>
      <c r="E124" s="5"/>
      <c r="F124" s="5"/>
      <c r="G124" s="5"/>
      <c r="H124" s="10">
        <v>5156</v>
      </c>
      <c r="I124" s="5"/>
      <c r="J124" s="5">
        <v>3277</v>
      </c>
      <c r="K124" s="5"/>
      <c r="L124" s="5"/>
      <c r="M124" s="11"/>
      <c r="N124" s="5"/>
      <c r="O124" s="11"/>
      <c r="P124" s="5"/>
      <c r="Q124" s="5"/>
      <c r="R124" s="5"/>
      <c r="S124" s="2"/>
    </row>
    <row r="125" spans="1:19" ht="15.75">
      <c r="A125" s="9">
        <v>11</v>
      </c>
      <c r="B125" s="5" t="s">
        <v>106</v>
      </c>
      <c r="C125" s="5"/>
      <c r="D125" s="5"/>
      <c r="E125" s="5"/>
      <c r="F125" s="5"/>
      <c r="G125" s="5"/>
      <c r="H125" s="5">
        <v>1519</v>
      </c>
      <c r="I125" s="5"/>
      <c r="J125" s="5">
        <v>1519</v>
      </c>
      <c r="K125" s="5"/>
      <c r="L125" s="5"/>
      <c r="M125" s="11"/>
      <c r="N125" s="5"/>
      <c r="O125" s="11"/>
      <c r="P125" s="5"/>
      <c r="Q125" s="5"/>
      <c r="R125" s="5"/>
      <c r="S125" s="2"/>
    </row>
    <row r="126" spans="1:19" ht="15.75">
      <c r="A126" s="9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11"/>
      <c r="N126" s="5"/>
      <c r="O126" s="11"/>
      <c r="P126" s="5"/>
      <c r="Q126" s="5"/>
      <c r="R126" s="5"/>
      <c r="S126" s="2"/>
    </row>
    <row r="127" spans="1:19" ht="15.75">
      <c r="A127" s="9"/>
      <c r="B127" s="5"/>
      <c r="C127" s="5"/>
      <c r="D127" s="5"/>
      <c r="E127" s="5"/>
      <c r="F127" s="5"/>
      <c r="G127" s="5"/>
      <c r="H127" s="21">
        <f>H121+H123+H124+H125</f>
        <v>87619</v>
      </c>
      <c r="I127" s="5"/>
      <c r="J127" s="7">
        <f>J121+J123+J124+J125</f>
        <v>83568</v>
      </c>
      <c r="K127" s="5"/>
      <c r="L127" s="5"/>
      <c r="M127" s="11"/>
      <c r="N127" s="5"/>
      <c r="O127" s="11"/>
      <c r="P127" s="5"/>
      <c r="Q127" s="5"/>
      <c r="R127" s="5"/>
      <c r="S127" s="2"/>
    </row>
    <row r="128" spans="1:19" ht="15.75">
      <c r="A128" s="9"/>
      <c r="B128" s="5"/>
      <c r="C128" s="5"/>
      <c r="D128" s="5"/>
      <c r="E128" s="5"/>
      <c r="F128" s="5"/>
      <c r="G128" s="5"/>
      <c r="H128" s="14"/>
      <c r="I128" s="5"/>
      <c r="J128" s="14"/>
      <c r="K128" s="5"/>
      <c r="L128" s="5"/>
      <c r="M128" s="11"/>
      <c r="N128" s="5"/>
      <c r="O128" s="11"/>
      <c r="P128" s="5"/>
      <c r="Q128" s="5"/>
      <c r="R128" s="5"/>
      <c r="S128" s="2"/>
    </row>
    <row r="129" spans="1:19" ht="15.75">
      <c r="A129" s="9">
        <v>12</v>
      </c>
      <c r="B129" s="5" t="s">
        <v>107</v>
      </c>
      <c r="C129" s="5"/>
      <c r="D129" s="5"/>
      <c r="E129" s="5"/>
      <c r="F129" s="5"/>
      <c r="G129" s="5"/>
      <c r="H129" s="5">
        <f>(+H121-H93)/(H116-327)*100</f>
        <v>203.2960763465678</v>
      </c>
      <c r="I129" s="5"/>
      <c r="J129" s="5">
        <f>(+J121-J93)/J116*100</f>
        <v>195.9010491668381</v>
      </c>
      <c r="K129" s="5"/>
      <c r="L129" s="5"/>
      <c r="M129" s="11"/>
      <c r="N129" s="5"/>
      <c r="O129" s="11"/>
      <c r="P129" s="5"/>
      <c r="Q129" s="5"/>
      <c r="R129" s="5"/>
      <c r="S129" s="2"/>
    </row>
    <row r="130" spans="1:19" ht="15.75">
      <c r="A130" s="9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11"/>
      <c r="N130" s="5"/>
      <c r="O130" s="11"/>
      <c r="P130" s="5"/>
      <c r="Q130" s="5"/>
      <c r="R130" s="5"/>
      <c r="S130" s="2"/>
    </row>
    <row r="131" spans="1:19" ht="15.75">
      <c r="A131" s="9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11"/>
      <c r="N131" s="5"/>
      <c r="O131" s="11"/>
      <c r="P131" s="5"/>
      <c r="Q131" s="5"/>
      <c r="R131" s="5"/>
      <c r="S131" s="2"/>
    </row>
    <row r="132" spans="1:19" ht="15.75">
      <c r="A132" s="9"/>
      <c r="B132" s="9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11"/>
      <c r="N132" s="5"/>
      <c r="O132" s="11"/>
      <c r="P132" s="5"/>
      <c r="Q132" s="5"/>
      <c r="R132" s="5"/>
      <c r="S132" s="2"/>
    </row>
    <row r="133" spans="1:19" ht="12.75" customHeight="1">
      <c r="A133" s="9" t="s">
        <v>108</v>
      </c>
      <c r="B133" s="9"/>
      <c r="C133" s="5"/>
      <c r="D133" s="5"/>
      <c r="E133" s="5"/>
      <c r="F133" s="5"/>
      <c r="G133" s="5"/>
      <c r="Q133" s="5"/>
      <c r="R133" s="5"/>
      <c r="S133" s="2"/>
    </row>
    <row r="134" spans="1:19" ht="15.75">
      <c r="A134" s="9"/>
      <c r="B134" s="9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2"/>
    </row>
    <row r="135" spans="1:19" ht="15.75">
      <c r="A135" s="9">
        <v>1</v>
      </c>
      <c r="B135" s="9" t="s">
        <v>109</v>
      </c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5"/>
      <c r="Q135" s="5"/>
      <c r="R135" s="5"/>
      <c r="S135" s="2"/>
    </row>
    <row r="136" spans="1:19" ht="15.75">
      <c r="A136" s="9"/>
      <c r="B136" s="9" t="s">
        <v>110</v>
      </c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5"/>
      <c r="Q136" s="5"/>
      <c r="R136" s="5"/>
      <c r="S136" s="2"/>
    </row>
    <row r="137" spans="1:19" ht="17.25" customHeight="1">
      <c r="A137" s="9"/>
      <c r="B137" s="9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2"/>
    </row>
    <row r="138" spans="1:19" ht="15.75">
      <c r="A138" s="9">
        <v>2</v>
      </c>
      <c r="B138" s="9" t="s">
        <v>111</v>
      </c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2"/>
    </row>
    <row r="139" spans="1:19" ht="15.75">
      <c r="A139" s="9"/>
      <c r="B139" s="9"/>
      <c r="C139" s="5"/>
      <c r="D139" s="5"/>
      <c r="E139" s="5"/>
      <c r="F139" s="5"/>
      <c r="G139" s="5"/>
      <c r="H139" s="8" t="s">
        <v>112</v>
      </c>
      <c r="I139" s="5"/>
      <c r="J139" s="8" t="s">
        <v>112</v>
      </c>
      <c r="K139" s="5"/>
      <c r="L139" s="5"/>
      <c r="M139" s="8" t="s">
        <v>113</v>
      </c>
      <c r="N139" s="5"/>
      <c r="O139" s="8" t="s">
        <v>113</v>
      </c>
      <c r="P139" s="5"/>
      <c r="Q139" s="5"/>
      <c r="R139" s="5"/>
      <c r="S139" s="2"/>
    </row>
    <row r="140" spans="1:19" ht="15.75">
      <c r="A140" s="9"/>
      <c r="B140" s="9"/>
      <c r="C140" s="5"/>
      <c r="D140" s="5"/>
      <c r="E140" s="5"/>
      <c r="F140" s="5"/>
      <c r="G140" s="5"/>
      <c r="H140" s="8" t="s">
        <v>10</v>
      </c>
      <c r="I140" s="5"/>
      <c r="J140" s="8" t="s">
        <v>10</v>
      </c>
      <c r="K140" s="5"/>
      <c r="L140" s="5"/>
      <c r="M140" s="8" t="s">
        <v>10</v>
      </c>
      <c r="N140" s="5"/>
      <c r="O140" s="8" t="s">
        <v>10</v>
      </c>
      <c r="P140" s="5"/>
      <c r="Q140" s="5"/>
      <c r="R140" s="5"/>
      <c r="S140" s="2"/>
    </row>
    <row r="141" spans="1:19" ht="15.75">
      <c r="A141" s="9"/>
      <c r="B141" s="9"/>
      <c r="C141" s="5"/>
      <c r="D141" s="5"/>
      <c r="E141" s="5"/>
      <c r="F141" s="5"/>
      <c r="G141" s="5"/>
      <c r="H141" s="8" t="s">
        <v>11</v>
      </c>
      <c r="I141" s="8"/>
      <c r="J141" s="8" t="s">
        <v>12</v>
      </c>
      <c r="K141" s="8"/>
      <c r="L141" s="5"/>
      <c r="M141" s="8" t="s">
        <v>11</v>
      </c>
      <c r="N141" s="8"/>
      <c r="O141" s="8" t="s">
        <v>12</v>
      </c>
      <c r="P141" s="8"/>
      <c r="Q141" s="5"/>
      <c r="R141" s="5"/>
      <c r="S141" s="2"/>
    </row>
    <row r="142" spans="1:19" ht="15.75">
      <c r="A142" s="9"/>
      <c r="B142" s="9"/>
      <c r="C142" s="5"/>
      <c r="D142" s="5"/>
      <c r="E142" s="5"/>
      <c r="F142" s="5"/>
      <c r="G142" s="5"/>
      <c r="H142" s="8" t="s">
        <v>80</v>
      </c>
      <c r="I142" s="8"/>
      <c r="J142" s="8" t="s">
        <v>80</v>
      </c>
      <c r="K142" s="8"/>
      <c r="L142" s="5"/>
      <c r="M142" s="8" t="s">
        <v>80</v>
      </c>
      <c r="N142" s="8"/>
      <c r="O142" s="8" t="s">
        <v>80</v>
      </c>
      <c r="P142" s="8"/>
      <c r="Q142" s="5"/>
      <c r="R142" s="5"/>
      <c r="S142" s="2"/>
    </row>
    <row r="143" spans="1:19" ht="15.75">
      <c r="A143" s="9"/>
      <c r="B143" s="9" t="s">
        <v>114</v>
      </c>
      <c r="C143" s="5"/>
      <c r="D143" s="5"/>
      <c r="E143" s="5"/>
      <c r="F143" s="5"/>
      <c r="G143" s="5"/>
      <c r="H143" s="5">
        <v>0</v>
      </c>
      <c r="I143" s="8"/>
      <c r="J143" s="5"/>
      <c r="K143" s="8"/>
      <c r="L143" s="5"/>
      <c r="M143" s="5">
        <v>24</v>
      </c>
      <c r="N143" s="8"/>
      <c r="O143" s="5"/>
      <c r="P143" s="8"/>
      <c r="Q143" s="5"/>
      <c r="R143" s="5"/>
      <c r="S143" s="2"/>
    </row>
    <row r="144" spans="1:19" ht="15.75">
      <c r="A144" s="9"/>
      <c r="B144" s="9"/>
      <c r="C144" s="5"/>
      <c r="D144" s="5"/>
      <c r="E144" s="5"/>
      <c r="F144" s="5"/>
      <c r="G144" s="5"/>
      <c r="H144" s="14"/>
      <c r="I144" s="8"/>
      <c r="J144" s="14"/>
      <c r="K144" s="8"/>
      <c r="L144" s="5"/>
      <c r="M144" s="14"/>
      <c r="N144" s="8"/>
      <c r="O144" s="14"/>
      <c r="P144" s="8"/>
      <c r="Q144" s="5"/>
      <c r="R144" s="5"/>
      <c r="S144" s="2"/>
    </row>
    <row r="145" spans="1:19" ht="15.75">
      <c r="A145" s="9">
        <v>3</v>
      </c>
      <c r="B145" s="9" t="s">
        <v>115</v>
      </c>
      <c r="C145" s="5"/>
      <c r="D145" s="5"/>
      <c r="E145" s="5"/>
      <c r="F145" s="5"/>
      <c r="G145" s="5"/>
      <c r="H145" s="5"/>
      <c r="I145" s="11"/>
      <c r="J145" s="5"/>
      <c r="K145" s="11"/>
      <c r="L145" s="5"/>
      <c r="M145" s="5"/>
      <c r="N145" s="11"/>
      <c r="O145" s="5"/>
      <c r="P145" s="11"/>
      <c r="Q145" s="5"/>
      <c r="R145" s="5"/>
      <c r="S145" s="2"/>
    </row>
    <row r="146" spans="1:19" ht="15.75">
      <c r="A146" s="9"/>
      <c r="B146" s="9"/>
      <c r="C146" s="5"/>
      <c r="D146" s="5"/>
      <c r="E146" s="5"/>
      <c r="F146" s="5"/>
      <c r="G146" s="5"/>
      <c r="H146" s="5"/>
      <c r="I146" s="11"/>
      <c r="J146" s="5"/>
      <c r="K146" s="11"/>
      <c r="L146" s="5"/>
      <c r="M146" s="5"/>
      <c r="N146" s="11"/>
      <c r="O146" s="5"/>
      <c r="P146" s="11"/>
      <c r="Q146" s="5"/>
      <c r="R146" s="5"/>
      <c r="S146" s="2"/>
    </row>
    <row r="147" spans="1:19" ht="15.75">
      <c r="A147" s="9">
        <v>4</v>
      </c>
      <c r="B147" s="9" t="s">
        <v>116</v>
      </c>
      <c r="C147" s="5"/>
      <c r="D147" s="5"/>
      <c r="E147" s="5"/>
      <c r="F147" s="5"/>
      <c r="G147" s="5"/>
      <c r="H147" s="5"/>
      <c r="I147" s="11"/>
      <c r="J147" s="5"/>
      <c r="K147" s="11"/>
      <c r="L147" s="5"/>
      <c r="M147" s="5"/>
      <c r="N147" s="11"/>
      <c r="O147" s="5"/>
      <c r="P147" s="11"/>
      <c r="Q147" s="5"/>
      <c r="R147" s="5"/>
      <c r="S147" s="2"/>
    </row>
    <row r="148" spans="1:19" ht="15.75">
      <c r="A148" s="9"/>
      <c r="B148" s="9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2"/>
    </row>
    <row r="149" spans="1:19" ht="15.75">
      <c r="A149" s="9"/>
      <c r="B149" s="9" t="s">
        <v>15</v>
      </c>
      <c r="C149" s="5" t="s">
        <v>74</v>
      </c>
      <c r="D149" s="5"/>
      <c r="E149" s="5"/>
      <c r="F149" s="5"/>
      <c r="G149" s="5"/>
      <c r="H149" s="11" t="s">
        <v>51</v>
      </c>
      <c r="I149" s="5"/>
      <c r="J149" s="5"/>
      <c r="K149" s="5"/>
      <c r="L149" s="5"/>
      <c r="M149" s="11" t="s">
        <v>51</v>
      </c>
      <c r="N149" s="5"/>
      <c r="O149" s="11"/>
      <c r="P149" s="5"/>
      <c r="Q149" s="5"/>
      <c r="R149" s="5"/>
      <c r="S149" s="2"/>
    </row>
    <row r="150" spans="1:19" ht="15.75">
      <c r="A150" s="9"/>
      <c r="B150" s="9" t="s">
        <v>17</v>
      </c>
      <c r="C150" s="5" t="s">
        <v>117</v>
      </c>
      <c r="D150" s="5"/>
      <c r="E150" s="5"/>
      <c r="F150" s="5"/>
      <c r="G150" s="5"/>
      <c r="H150" s="11" t="s">
        <v>51</v>
      </c>
      <c r="I150" s="5"/>
      <c r="J150" s="11"/>
      <c r="K150" s="5"/>
      <c r="L150" s="5"/>
      <c r="M150" s="11" t="s">
        <v>51</v>
      </c>
      <c r="N150" s="5"/>
      <c r="O150" s="11"/>
      <c r="P150" s="5"/>
      <c r="Q150" s="5"/>
      <c r="R150" s="5"/>
      <c r="S150" s="2"/>
    </row>
    <row r="151" spans="1:19" ht="15.75">
      <c r="A151" s="9"/>
      <c r="B151" s="9" t="s">
        <v>19</v>
      </c>
      <c r="C151" s="5" t="s">
        <v>118</v>
      </c>
      <c r="D151" s="5"/>
      <c r="E151" s="5"/>
      <c r="F151" s="5"/>
      <c r="G151" s="5"/>
      <c r="H151" s="11" t="s">
        <v>51</v>
      </c>
      <c r="I151" s="5"/>
      <c r="J151" s="5"/>
      <c r="K151" s="5"/>
      <c r="L151" s="5"/>
      <c r="M151" s="11" t="s">
        <v>51</v>
      </c>
      <c r="N151" s="5"/>
      <c r="O151" s="11"/>
      <c r="P151" s="5"/>
      <c r="Q151" s="5"/>
      <c r="R151" s="5"/>
      <c r="S151" s="2"/>
    </row>
    <row r="152" spans="1:19" ht="15.75">
      <c r="A152" s="9"/>
      <c r="B152" s="9" t="s">
        <v>28</v>
      </c>
      <c r="C152" s="5" t="s">
        <v>119</v>
      </c>
      <c r="D152" s="5"/>
      <c r="E152" s="5"/>
      <c r="F152" s="5"/>
      <c r="G152" s="5"/>
      <c r="H152" s="11">
        <v>2</v>
      </c>
      <c r="I152" s="5"/>
      <c r="J152" s="11"/>
      <c r="K152" s="5"/>
      <c r="L152" s="5"/>
      <c r="M152" s="11">
        <v>3</v>
      </c>
      <c r="N152" s="5"/>
      <c r="O152" s="11"/>
      <c r="P152" s="5"/>
      <c r="Q152" s="5"/>
      <c r="R152" s="5"/>
      <c r="S152" s="2"/>
    </row>
    <row r="153" spans="1:18" ht="16.5" thickBot="1">
      <c r="A153" s="9"/>
      <c r="B153" s="9"/>
      <c r="C153" s="5"/>
      <c r="D153" s="5"/>
      <c r="E153" s="5"/>
      <c r="F153" s="5"/>
      <c r="G153" s="5"/>
      <c r="H153" s="50">
        <f>SUM(H149:H152)</f>
        <v>2</v>
      </c>
      <c r="I153" s="5"/>
      <c r="J153" s="50"/>
      <c r="K153" s="5"/>
      <c r="L153" s="5"/>
      <c r="M153" s="51">
        <f>SUM(M149:M152)</f>
        <v>3</v>
      </c>
      <c r="N153" s="5"/>
      <c r="O153" s="51"/>
      <c r="P153" s="5"/>
      <c r="Q153" s="5"/>
      <c r="R153" s="12"/>
    </row>
    <row r="154" spans="1:18" ht="15.75" customHeight="1" hidden="1">
      <c r="A154" s="9"/>
      <c r="B154" s="9"/>
      <c r="C154" s="5"/>
      <c r="D154" s="5"/>
      <c r="E154" s="5"/>
      <c r="F154" s="5"/>
      <c r="G154" s="5"/>
      <c r="H154" s="49"/>
      <c r="I154" s="5"/>
      <c r="J154" s="49"/>
      <c r="K154" s="5"/>
      <c r="L154" s="5"/>
      <c r="M154" s="49"/>
      <c r="N154" s="5"/>
      <c r="O154" s="49"/>
      <c r="P154" s="5"/>
      <c r="Q154" s="5"/>
      <c r="R154" s="12"/>
    </row>
    <row r="155" spans="1:18" ht="15.75" customHeight="1" hidden="1">
      <c r="A155" s="9">
        <v>5</v>
      </c>
      <c r="B155" s="9" t="s">
        <v>120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12"/>
    </row>
    <row r="156" spans="1:18" ht="15.75" customHeight="1" hidden="1">
      <c r="A156" s="9"/>
      <c r="B156" s="9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12"/>
    </row>
    <row r="157" spans="1:19" ht="15.75" customHeight="1" hidden="1">
      <c r="A157" s="13"/>
      <c r="B157" s="13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5"/>
      <c r="S157" s="2"/>
    </row>
    <row r="158" spans="1:19" ht="15.75" customHeight="1" thickTop="1">
      <c r="A158" s="13"/>
      <c r="B158" s="9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5"/>
      <c r="S158" s="2"/>
    </row>
    <row r="159" spans="1:19" ht="15.75" customHeight="1">
      <c r="A159" s="13">
        <v>5</v>
      </c>
      <c r="B159" s="9" t="s">
        <v>121</v>
      </c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12"/>
      <c r="Q159" s="12"/>
      <c r="R159" s="5"/>
      <c r="S159" s="2"/>
    </row>
    <row r="160" spans="1:19" ht="15.75" customHeight="1">
      <c r="A160" s="13"/>
      <c r="B160" s="9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12"/>
      <c r="Q160" s="12"/>
      <c r="R160" s="5"/>
      <c r="S160" s="2"/>
    </row>
    <row r="161" spans="1:19" ht="15.75" customHeight="1">
      <c r="A161" s="9">
        <v>6</v>
      </c>
      <c r="B161" s="9" t="s">
        <v>122</v>
      </c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5"/>
      <c r="Q161" s="5"/>
      <c r="R161" s="5"/>
      <c r="S161" s="2"/>
    </row>
    <row r="162" spans="1:19" ht="15.75" customHeight="1">
      <c r="A162" s="9"/>
      <c r="B162" s="9" t="s">
        <v>123</v>
      </c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5"/>
      <c r="Q162" s="5"/>
      <c r="R162" s="5"/>
      <c r="S162" s="2"/>
    </row>
    <row r="163" spans="1:19" ht="15.75" customHeight="1">
      <c r="A163" s="9"/>
      <c r="B163" s="9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5"/>
      <c r="Q163" s="5"/>
      <c r="R163" s="5"/>
      <c r="S163" s="2"/>
    </row>
    <row r="164" spans="1:19" ht="15.75" customHeight="1">
      <c r="A164" s="9">
        <v>7</v>
      </c>
      <c r="B164" s="9" t="s">
        <v>124</v>
      </c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5"/>
      <c r="Q164" s="5"/>
      <c r="R164" s="5"/>
      <c r="S164" s="2"/>
    </row>
    <row r="165" spans="1:19" ht="15.75" customHeight="1">
      <c r="A165" s="9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2"/>
    </row>
    <row r="166" spans="1:19" ht="15.75" customHeight="1">
      <c r="A166" s="9"/>
      <c r="B166" s="5" t="s">
        <v>15</v>
      </c>
      <c r="C166" s="18"/>
      <c r="D166" s="7"/>
      <c r="E166" s="7"/>
      <c r="F166" s="7"/>
      <c r="G166" s="7"/>
      <c r="H166" s="7"/>
      <c r="I166" s="7"/>
      <c r="J166" s="24" t="s">
        <v>80</v>
      </c>
      <c r="K166" s="19"/>
      <c r="L166" s="5"/>
      <c r="M166" s="5"/>
      <c r="N166" s="5"/>
      <c r="O166" s="5"/>
      <c r="P166" s="5"/>
      <c r="Q166" s="5"/>
      <c r="R166" s="5"/>
      <c r="S166" s="2"/>
    </row>
    <row r="167" spans="1:19" ht="15.75" customHeight="1">
      <c r="A167" s="9"/>
      <c r="B167" s="5"/>
      <c r="C167" s="18" t="s">
        <v>125</v>
      </c>
      <c r="D167" s="7"/>
      <c r="E167" s="7"/>
      <c r="F167" s="7"/>
      <c r="G167" s="7"/>
      <c r="H167" s="7"/>
      <c r="I167" s="7"/>
      <c r="J167" s="24">
        <v>1062</v>
      </c>
      <c r="K167" s="19"/>
      <c r="L167" s="5"/>
      <c r="M167" s="5"/>
      <c r="N167" s="5"/>
      <c r="O167" s="5"/>
      <c r="P167" s="5"/>
      <c r="Q167" s="5"/>
      <c r="R167" s="5"/>
      <c r="S167" s="2"/>
    </row>
    <row r="168" spans="1:19" ht="15.75" customHeight="1">
      <c r="A168" s="9"/>
      <c r="B168" s="5"/>
      <c r="C168" s="18" t="s">
        <v>126</v>
      </c>
      <c r="D168" s="7"/>
      <c r="E168" s="7"/>
      <c r="F168" s="7"/>
      <c r="G168" s="7"/>
      <c r="H168" s="7"/>
      <c r="I168" s="7"/>
      <c r="J168" s="24" t="s">
        <v>127</v>
      </c>
      <c r="K168" s="19"/>
      <c r="L168" s="5"/>
      <c r="M168" s="5"/>
      <c r="N168" s="5"/>
      <c r="O168" s="5"/>
      <c r="P168" s="5"/>
      <c r="Q168" s="5"/>
      <c r="R168" s="5"/>
      <c r="S168" s="2"/>
    </row>
    <row r="169" spans="1:19" ht="15.75" customHeight="1">
      <c r="A169" s="9"/>
      <c r="B169" s="5"/>
      <c r="C169" s="18" t="s">
        <v>128</v>
      </c>
      <c r="D169" s="7"/>
      <c r="E169" s="7"/>
      <c r="F169" s="7"/>
      <c r="G169" s="7"/>
      <c r="H169" s="7"/>
      <c r="I169" s="7"/>
      <c r="J169" s="24" t="s">
        <v>129</v>
      </c>
      <c r="K169" s="19"/>
      <c r="L169" s="5"/>
      <c r="M169" s="5"/>
      <c r="N169" s="5"/>
      <c r="O169" s="5"/>
      <c r="P169" s="5"/>
      <c r="Q169" s="5"/>
      <c r="R169" s="5"/>
      <c r="S169" s="2"/>
    </row>
    <row r="170" spans="1:19" ht="15.75" customHeight="1">
      <c r="A170" s="9"/>
      <c r="B170" s="5"/>
      <c r="C170" s="7"/>
      <c r="D170" s="7"/>
      <c r="E170" s="7"/>
      <c r="F170" s="7"/>
      <c r="G170" s="7"/>
      <c r="H170" s="7"/>
      <c r="I170" s="7"/>
      <c r="J170" s="7"/>
      <c r="K170" s="5"/>
      <c r="L170" s="5"/>
      <c r="M170" s="5"/>
      <c r="N170" s="5"/>
      <c r="O170" s="5"/>
      <c r="P170" s="5"/>
      <c r="Q170" s="5"/>
      <c r="R170" s="5"/>
      <c r="S170" s="2"/>
    </row>
    <row r="171" spans="1:19" ht="15.75" customHeight="1">
      <c r="A171" s="9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2"/>
    </row>
    <row r="172" spans="1:19" ht="15.75" customHeight="1">
      <c r="A172" s="9"/>
      <c r="B172" s="5" t="s">
        <v>17</v>
      </c>
      <c r="C172" s="18"/>
      <c r="D172" s="7"/>
      <c r="E172" s="7"/>
      <c r="F172" s="7"/>
      <c r="G172" s="7"/>
      <c r="H172" s="7"/>
      <c r="I172" s="7"/>
      <c r="J172" s="24" t="s">
        <v>80</v>
      </c>
      <c r="K172" s="19"/>
      <c r="L172" s="5"/>
      <c r="M172" s="5"/>
      <c r="N172" s="5"/>
      <c r="O172" s="5"/>
      <c r="P172" s="5"/>
      <c r="Q172" s="5"/>
      <c r="R172" s="5"/>
      <c r="S172" s="2"/>
    </row>
    <row r="173" spans="1:19" ht="15.75" customHeight="1">
      <c r="A173" s="9"/>
      <c r="B173" s="5"/>
      <c r="C173" s="18" t="s">
        <v>130</v>
      </c>
      <c r="D173" s="7"/>
      <c r="E173" s="7"/>
      <c r="F173" s="7"/>
      <c r="G173" s="7"/>
      <c r="H173" s="7"/>
      <c r="I173" s="7"/>
      <c r="J173" s="24">
        <v>1143</v>
      </c>
      <c r="K173" s="19"/>
      <c r="L173" s="5"/>
      <c r="M173" s="5"/>
      <c r="N173" s="5"/>
      <c r="O173" s="5"/>
      <c r="P173" s="5"/>
      <c r="Q173" s="5"/>
      <c r="R173" s="5"/>
      <c r="S173" s="2"/>
    </row>
    <row r="174" spans="1:19" ht="15.75" customHeight="1">
      <c r="A174" s="9"/>
      <c r="B174" s="5"/>
      <c r="C174" s="18" t="s">
        <v>365</v>
      </c>
      <c r="D174" s="7"/>
      <c r="E174" s="7"/>
      <c r="F174" s="7"/>
      <c r="G174" s="7"/>
      <c r="H174" s="7"/>
      <c r="I174" s="7"/>
      <c r="J174" s="24">
        <v>1143</v>
      </c>
      <c r="K174" s="19"/>
      <c r="L174" s="5"/>
      <c r="M174" s="5"/>
      <c r="N174" s="5"/>
      <c r="O174" s="5"/>
      <c r="P174" s="5"/>
      <c r="Q174" s="5"/>
      <c r="R174" s="5"/>
      <c r="S174" s="2"/>
    </row>
    <row r="175" spans="1:19" ht="15.75" customHeight="1">
      <c r="A175" s="9"/>
      <c r="B175" s="5"/>
      <c r="C175" s="52" t="s">
        <v>131</v>
      </c>
      <c r="D175" s="53"/>
      <c r="E175" s="53"/>
      <c r="F175" s="53"/>
      <c r="G175" s="53"/>
      <c r="H175" s="53"/>
      <c r="I175" s="53"/>
      <c r="J175" s="54">
        <v>1032</v>
      </c>
      <c r="K175" s="19"/>
      <c r="L175" s="5"/>
      <c r="M175" s="5"/>
      <c r="N175" s="5"/>
      <c r="O175" s="5"/>
      <c r="P175" s="5"/>
      <c r="Q175" s="5"/>
      <c r="R175" s="5"/>
      <c r="S175" s="2"/>
    </row>
    <row r="176" spans="1:19" ht="15.75" customHeight="1" hidden="1">
      <c r="A176" s="9"/>
      <c r="B176" s="5"/>
      <c r="C176" s="49"/>
      <c r="D176" s="49"/>
      <c r="E176" s="49"/>
      <c r="F176" s="49"/>
      <c r="G176" s="49"/>
      <c r="H176" s="49"/>
      <c r="I176" s="49"/>
      <c r="J176" s="49"/>
      <c r="K176" s="5"/>
      <c r="L176" s="5"/>
      <c r="M176" s="5"/>
      <c r="N176" s="5"/>
      <c r="O176" s="5"/>
      <c r="P176" s="5"/>
      <c r="Q176" s="5"/>
      <c r="R176" s="5"/>
      <c r="S176" s="2"/>
    </row>
    <row r="177" spans="1:19" ht="15.75" customHeight="1" hidden="1">
      <c r="A177" s="9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2"/>
    </row>
    <row r="178" spans="1:19" ht="15.75" customHeight="1">
      <c r="A178" s="9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2"/>
    </row>
    <row r="179" spans="1:19" ht="15.75" customHeight="1">
      <c r="A179" s="9">
        <v>8</v>
      </c>
      <c r="B179" s="9" t="s">
        <v>132</v>
      </c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2"/>
    </row>
    <row r="180" spans="1:19" ht="15.75" customHeight="1">
      <c r="A180" s="9"/>
      <c r="B180" s="9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2"/>
    </row>
    <row r="181" spans="1:19" ht="15.75" customHeight="1">
      <c r="A181" s="9"/>
      <c r="B181" s="44" t="s">
        <v>133</v>
      </c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5"/>
      <c r="Q181" s="5"/>
      <c r="R181" s="5"/>
      <c r="S181" s="2"/>
    </row>
    <row r="182" spans="1:19" ht="15.75" customHeight="1">
      <c r="A182" s="9"/>
      <c r="B182" s="9" t="s">
        <v>134</v>
      </c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5"/>
      <c r="Q182" s="5"/>
      <c r="R182" s="5"/>
      <c r="S182" s="2"/>
    </row>
    <row r="183" spans="1:19" ht="15.75" customHeight="1">
      <c r="A183" s="9"/>
      <c r="B183" s="9" t="s">
        <v>135</v>
      </c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5"/>
      <c r="Q183" s="5"/>
      <c r="R183" s="5"/>
      <c r="S183" s="2"/>
    </row>
    <row r="184" spans="1:19" ht="15.75" customHeight="1">
      <c r="A184" s="9"/>
      <c r="B184" s="9" t="s">
        <v>136</v>
      </c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5"/>
      <c r="Q184" s="5"/>
      <c r="R184" s="5"/>
      <c r="S184" s="2"/>
    </row>
    <row r="185" spans="1:19" ht="15.75" customHeight="1">
      <c r="A185" s="9"/>
      <c r="B185" s="44" t="s">
        <v>137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5"/>
      <c r="Q185" s="5"/>
      <c r="R185" s="5"/>
      <c r="S185" s="2"/>
    </row>
    <row r="186" spans="1:19" ht="15.75" customHeight="1">
      <c r="A186" s="9"/>
      <c r="B186" s="9" t="s">
        <v>138</v>
      </c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5"/>
      <c r="Q186" s="5"/>
      <c r="R186" s="5"/>
      <c r="S186" s="2"/>
    </row>
    <row r="187" spans="1:19" ht="15.75" customHeight="1">
      <c r="A187" s="9"/>
      <c r="B187" s="9" t="s">
        <v>139</v>
      </c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5"/>
      <c r="Q187" s="5"/>
      <c r="R187" s="5"/>
      <c r="S187" s="2"/>
    </row>
    <row r="188" spans="1:19" ht="15.75" customHeight="1">
      <c r="A188" s="9"/>
      <c r="B188" s="9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5"/>
      <c r="Q188" s="5"/>
      <c r="R188" s="5"/>
      <c r="S188" s="2"/>
    </row>
    <row r="189" spans="1:19" ht="15.75" customHeight="1">
      <c r="A189" s="9">
        <v>9</v>
      </c>
      <c r="B189" s="9" t="s">
        <v>140</v>
      </c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5"/>
      <c r="Q189" s="5"/>
      <c r="R189" s="5"/>
      <c r="S189" s="2"/>
    </row>
    <row r="190" spans="1:19" ht="15.75" customHeight="1">
      <c r="A190" s="9"/>
      <c r="B190" s="9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5"/>
      <c r="Q190" s="5"/>
      <c r="R190" s="5"/>
      <c r="S190" s="2"/>
    </row>
    <row r="191" spans="1:19" ht="15.75" customHeight="1">
      <c r="A191" s="9">
        <v>10</v>
      </c>
      <c r="B191" s="9" t="s">
        <v>141</v>
      </c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5"/>
      <c r="Q191" s="5"/>
      <c r="R191" s="5"/>
      <c r="S191" s="2"/>
    </row>
    <row r="192" spans="1:19" ht="15.75" customHeight="1">
      <c r="A192" s="9"/>
      <c r="B192" s="9" t="s">
        <v>142</v>
      </c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5"/>
      <c r="Q192" s="5"/>
      <c r="R192" s="5"/>
      <c r="S192" s="2"/>
    </row>
    <row r="193" spans="1:19" ht="15.75" customHeight="1">
      <c r="A193" s="9"/>
      <c r="B193" s="9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5"/>
      <c r="Q193" s="5"/>
      <c r="R193" s="5"/>
      <c r="S193" s="2"/>
    </row>
    <row r="194" spans="1:19" ht="15.75" customHeight="1">
      <c r="A194" s="9">
        <v>11</v>
      </c>
      <c r="B194" s="9" t="s">
        <v>143</v>
      </c>
      <c r="C194" s="9" t="s">
        <v>144</v>
      </c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5"/>
      <c r="Q194" s="5"/>
      <c r="R194" s="5"/>
      <c r="S194" s="2"/>
    </row>
    <row r="195" spans="1:19" ht="15.75" customHeight="1">
      <c r="A195" s="9"/>
      <c r="B195" s="4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2"/>
    </row>
    <row r="196" spans="1:19" ht="15.75" customHeight="1">
      <c r="A196" s="9"/>
      <c r="B196" s="46" t="s">
        <v>17</v>
      </c>
      <c r="C196" s="5" t="s">
        <v>145</v>
      </c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2"/>
    </row>
    <row r="197" spans="1:19" ht="15.75" customHeight="1">
      <c r="A197" s="9"/>
      <c r="B197" s="46"/>
      <c r="C197" s="5" t="s">
        <v>146</v>
      </c>
      <c r="D197" s="5"/>
      <c r="E197" s="5"/>
      <c r="F197" s="5"/>
      <c r="G197" s="5"/>
      <c r="H197" s="5"/>
      <c r="I197" s="5"/>
      <c r="J197" s="5"/>
      <c r="K197" s="5"/>
      <c r="L197" s="5"/>
      <c r="M197" s="5">
        <v>327000</v>
      </c>
      <c r="N197" s="5"/>
      <c r="O197" s="5"/>
      <c r="P197" s="5"/>
      <c r="Q197" s="5"/>
      <c r="R197" s="5"/>
      <c r="S197" s="2"/>
    </row>
    <row r="198" spans="1:19" ht="15.75" customHeight="1">
      <c r="A198" s="9"/>
      <c r="B198" s="46"/>
      <c r="C198" s="5" t="s">
        <v>147</v>
      </c>
      <c r="D198" s="5"/>
      <c r="E198" s="5"/>
      <c r="F198" s="5"/>
      <c r="G198" s="5"/>
      <c r="H198" s="5"/>
      <c r="I198" s="5"/>
      <c r="J198" s="5"/>
      <c r="K198" s="5"/>
      <c r="L198" s="5" t="s">
        <v>148</v>
      </c>
      <c r="M198" s="26" t="s">
        <v>149</v>
      </c>
      <c r="N198" s="5"/>
      <c r="O198" s="5"/>
      <c r="P198" s="5"/>
      <c r="Q198" s="5"/>
      <c r="R198" s="5"/>
      <c r="S198" s="2"/>
    </row>
    <row r="199" spans="1:19" ht="15.75" customHeight="1">
      <c r="A199" s="9"/>
      <c r="B199" s="46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2"/>
    </row>
    <row r="200" spans="1:19" ht="15.75" customHeight="1">
      <c r="A200" s="9"/>
      <c r="B200" s="45"/>
      <c r="C200" s="5" t="s">
        <v>150</v>
      </c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2"/>
    </row>
    <row r="201" spans="1:19" ht="15.75" customHeight="1">
      <c r="A201" s="9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2"/>
    </row>
    <row r="202" spans="1:19" ht="15.75" customHeight="1">
      <c r="A202" s="9">
        <v>12</v>
      </c>
      <c r="B202" s="5" t="s">
        <v>151</v>
      </c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2"/>
    </row>
    <row r="203" spans="1:19" ht="15.75" customHeight="1">
      <c r="A203" s="9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2"/>
    </row>
    <row r="204" spans="1:19" ht="15.75" customHeight="1">
      <c r="A204" s="9"/>
      <c r="B204" s="5" t="s">
        <v>152</v>
      </c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2"/>
    </row>
    <row r="205" spans="1:19" ht="15.75" customHeight="1">
      <c r="A205" s="9"/>
      <c r="B205" s="5"/>
      <c r="C205" s="5" t="s">
        <v>153</v>
      </c>
      <c r="D205" s="5"/>
      <c r="E205" s="5"/>
      <c r="F205" s="5"/>
      <c r="G205" s="5"/>
      <c r="H205" s="5"/>
      <c r="I205" s="5"/>
      <c r="J205" s="5">
        <v>5842</v>
      </c>
      <c r="K205" s="5"/>
      <c r="L205" s="5"/>
      <c r="M205" s="5"/>
      <c r="N205" s="5"/>
      <c r="O205" s="5"/>
      <c r="P205" s="5"/>
      <c r="Q205" s="5"/>
      <c r="R205" s="5"/>
      <c r="S205" s="2"/>
    </row>
    <row r="206" spans="1:19" ht="15.75" customHeight="1">
      <c r="A206" s="9"/>
      <c r="B206" s="5"/>
      <c r="C206" s="5" t="s">
        <v>154</v>
      </c>
      <c r="D206" s="5"/>
      <c r="E206" s="5"/>
      <c r="F206" s="5"/>
      <c r="G206" s="5"/>
      <c r="H206" s="5"/>
      <c r="I206" s="5"/>
      <c r="J206" s="5">
        <f>13282+500</f>
        <v>13782</v>
      </c>
      <c r="K206" s="5"/>
      <c r="L206" s="5"/>
      <c r="M206" s="5"/>
      <c r="N206" s="5"/>
      <c r="O206" s="5"/>
      <c r="P206" s="5"/>
      <c r="Q206" s="5"/>
      <c r="R206" s="5"/>
      <c r="S206" s="2"/>
    </row>
    <row r="207" spans="1:19" ht="15.75" customHeight="1">
      <c r="A207" s="9"/>
      <c r="B207" s="5"/>
      <c r="C207" s="5" t="s">
        <v>155</v>
      </c>
      <c r="D207" s="5"/>
      <c r="E207" s="5"/>
      <c r="F207" s="5"/>
      <c r="G207" s="5"/>
      <c r="H207" s="5"/>
      <c r="I207" s="5"/>
      <c r="J207" s="5">
        <v>2253</v>
      </c>
      <c r="K207" s="5"/>
      <c r="L207" s="5"/>
      <c r="M207" s="5"/>
      <c r="N207" s="5"/>
      <c r="O207" s="5"/>
      <c r="P207" s="5"/>
      <c r="Q207" s="5"/>
      <c r="R207" s="5"/>
      <c r="S207" s="2"/>
    </row>
    <row r="208" spans="1:19" ht="15.75" customHeight="1">
      <c r="A208" s="9"/>
      <c r="B208" s="5"/>
      <c r="C208" s="5" t="s">
        <v>156</v>
      </c>
      <c r="D208" s="5"/>
      <c r="E208" s="5"/>
      <c r="F208" s="5"/>
      <c r="G208" s="5"/>
      <c r="H208" s="5"/>
      <c r="I208" s="5"/>
      <c r="J208" s="5">
        <v>1136</v>
      </c>
      <c r="K208" s="5"/>
      <c r="L208" s="5"/>
      <c r="M208" s="5"/>
      <c r="N208" s="5"/>
      <c r="O208" s="5"/>
      <c r="P208" s="5"/>
      <c r="Q208" s="5"/>
      <c r="R208" s="5"/>
      <c r="S208" s="2"/>
    </row>
    <row r="209" spans="1:19" ht="15.75" customHeight="1">
      <c r="A209" s="9"/>
      <c r="B209" s="5"/>
      <c r="C209" s="5" t="s">
        <v>157</v>
      </c>
      <c r="D209" s="5"/>
      <c r="E209" s="5"/>
      <c r="F209" s="5"/>
      <c r="G209" s="5"/>
      <c r="H209" s="5"/>
      <c r="I209" s="5"/>
      <c r="J209" s="5">
        <v>823</v>
      </c>
      <c r="K209" s="5"/>
      <c r="L209" s="5"/>
      <c r="M209" s="5"/>
      <c r="N209" s="5"/>
      <c r="O209" s="5"/>
      <c r="P209" s="5"/>
      <c r="Q209" s="5"/>
      <c r="R209" s="5"/>
      <c r="S209" s="2"/>
    </row>
    <row r="210" spans="1:19" ht="15.75" customHeight="1">
      <c r="A210" s="9"/>
      <c r="B210" s="5"/>
      <c r="C210" s="5" t="s">
        <v>158</v>
      </c>
      <c r="D210" s="5"/>
      <c r="E210" s="5"/>
      <c r="F210" s="5"/>
      <c r="G210" s="5"/>
      <c r="H210" s="5"/>
      <c r="I210" s="5"/>
      <c r="J210" s="5">
        <v>727</v>
      </c>
      <c r="K210" s="5"/>
      <c r="L210" s="5"/>
      <c r="M210" s="5"/>
      <c r="N210" s="5"/>
      <c r="O210" s="5"/>
      <c r="P210" s="5"/>
      <c r="Q210" s="5"/>
      <c r="R210" s="5"/>
      <c r="S210" s="2"/>
    </row>
    <row r="211" spans="1:19" ht="15.75" customHeight="1">
      <c r="A211" s="9"/>
      <c r="B211" s="5"/>
      <c r="C211" s="5" t="s">
        <v>159</v>
      </c>
      <c r="D211" s="5"/>
      <c r="E211" s="5"/>
      <c r="F211" s="5"/>
      <c r="G211" s="5"/>
      <c r="H211" s="5"/>
      <c r="I211" s="5"/>
      <c r="J211" s="5">
        <v>2040</v>
      </c>
      <c r="K211" s="5"/>
      <c r="L211" s="5"/>
      <c r="M211" s="5"/>
      <c r="N211" s="5"/>
      <c r="O211" s="5"/>
      <c r="P211" s="5"/>
      <c r="Q211" s="5"/>
      <c r="R211" s="5"/>
      <c r="S211" s="2"/>
    </row>
    <row r="212" spans="1:19" ht="15.75" customHeight="1">
      <c r="A212" s="9"/>
      <c r="B212" s="5"/>
      <c r="C212" s="5"/>
      <c r="D212" s="5"/>
      <c r="E212" s="5"/>
      <c r="F212" s="5"/>
      <c r="G212" s="5"/>
      <c r="H212" s="5"/>
      <c r="I212" s="5"/>
      <c r="J212" s="7">
        <f>SUM(J205:J211)</f>
        <v>26603</v>
      </c>
      <c r="K212" s="5"/>
      <c r="L212" s="5"/>
      <c r="M212" s="5"/>
      <c r="N212" s="5"/>
      <c r="O212" s="5"/>
      <c r="P212" s="5"/>
      <c r="Q212" s="5"/>
      <c r="R212" s="5"/>
      <c r="S212" s="2"/>
    </row>
    <row r="213" spans="1:19" ht="15.75" customHeight="1">
      <c r="A213" s="9"/>
      <c r="B213" s="5"/>
      <c r="C213" s="5"/>
      <c r="D213" s="5"/>
      <c r="E213" s="5"/>
      <c r="F213" s="5"/>
      <c r="G213" s="5"/>
      <c r="H213" s="5"/>
      <c r="I213" s="5"/>
      <c r="J213" s="14"/>
      <c r="K213" s="5"/>
      <c r="L213" s="5"/>
      <c r="M213" s="5"/>
      <c r="N213" s="5"/>
      <c r="O213" s="5"/>
      <c r="P213" s="5"/>
      <c r="Q213" s="5"/>
      <c r="R213" s="5"/>
      <c r="S213" s="2"/>
    </row>
    <row r="214" spans="1:19" ht="15.75" customHeight="1">
      <c r="A214" s="9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2"/>
    </row>
    <row r="215" spans="1:19" ht="15.75" customHeight="1">
      <c r="A215" s="9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2"/>
    </row>
    <row r="216" spans="1:19" ht="15.75" customHeight="1">
      <c r="A216" s="9"/>
      <c r="B216" s="5" t="s">
        <v>160</v>
      </c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2"/>
    </row>
    <row r="217" spans="1:19" ht="15.75" customHeight="1">
      <c r="A217" s="9"/>
      <c r="B217" s="5"/>
      <c r="C217" s="5" t="s">
        <v>161</v>
      </c>
      <c r="D217" s="5"/>
      <c r="E217" s="5"/>
      <c r="F217" s="5"/>
      <c r="G217" s="5"/>
      <c r="H217" s="5"/>
      <c r="I217" s="5"/>
      <c r="J217" s="5">
        <v>2840</v>
      </c>
      <c r="K217" s="5"/>
      <c r="L217" s="5"/>
      <c r="M217" s="5"/>
      <c r="N217" s="5"/>
      <c r="O217" s="5"/>
      <c r="P217" s="5"/>
      <c r="Q217" s="5"/>
      <c r="R217" s="5"/>
      <c r="S217" s="2"/>
    </row>
    <row r="218" spans="1:19" ht="15.75" customHeight="1">
      <c r="A218" s="9"/>
      <c r="B218" s="5"/>
      <c r="C218" s="5" t="s">
        <v>162</v>
      </c>
      <c r="D218" s="5"/>
      <c r="E218" s="5"/>
      <c r="F218" s="5"/>
      <c r="G218" s="5"/>
      <c r="H218" s="5"/>
      <c r="I218" s="5"/>
      <c r="J218" s="5">
        <v>2316</v>
      </c>
      <c r="K218" s="5"/>
      <c r="L218" s="5"/>
      <c r="M218" s="5"/>
      <c r="N218" s="5"/>
      <c r="O218" s="5"/>
      <c r="P218" s="5"/>
      <c r="Q218" s="5"/>
      <c r="R218" s="5"/>
      <c r="S218" s="2"/>
    </row>
    <row r="219" spans="1:19" ht="15.75" customHeight="1">
      <c r="A219" s="9"/>
      <c r="B219" s="5"/>
      <c r="C219" s="5"/>
      <c r="D219" s="5"/>
      <c r="E219" s="5"/>
      <c r="F219" s="5"/>
      <c r="G219" s="5"/>
      <c r="H219" s="5"/>
      <c r="I219" s="5"/>
      <c r="J219" s="7">
        <f>SUM(J216:J218)</f>
        <v>5156</v>
      </c>
      <c r="K219" s="5"/>
      <c r="L219" s="5"/>
      <c r="M219" s="5"/>
      <c r="N219" s="5"/>
      <c r="O219" s="5"/>
      <c r="P219" s="5"/>
      <c r="Q219" s="5"/>
      <c r="R219" s="5"/>
      <c r="S219" s="2"/>
    </row>
    <row r="220" spans="1:19" ht="15.75" customHeight="1">
      <c r="A220" s="9"/>
      <c r="B220" s="5"/>
      <c r="C220" s="5"/>
      <c r="D220" s="5"/>
      <c r="E220" s="5"/>
      <c r="F220" s="5"/>
      <c r="G220" s="5"/>
      <c r="H220" s="5"/>
      <c r="I220" s="5"/>
      <c r="J220" s="14"/>
      <c r="K220" s="5"/>
      <c r="L220" s="5"/>
      <c r="M220" s="5"/>
      <c r="N220" s="5"/>
      <c r="O220" s="5"/>
      <c r="P220" s="5"/>
      <c r="Q220" s="5"/>
      <c r="R220" s="5"/>
      <c r="S220" s="2"/>
    </row>
    <row r="221" spans="1:19" ht="15.75" customHeight="1">
      <c r="A221" s="9">
        <v>13</v>
      </c>
      <c r="B221" s="5" t="s">
        <v>163</v>
      </c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2"/>
    </row>
    <row r="222" spans="1:19" ht="15.75" customHeight="1">
      <c r="A222" s="9"/>
      <c r="B222" s="5" t="s">
        <v>164</v>
      </c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2"/>
    </row>
    <row r="223" spans="1:19" ht="15.75" customHeight="1">
      <c r="A223" s="9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2"/>
    </row>
    <row r="224" spans="1:19" ht="15.75" customHeight="1">
      <c r="A224" s="9">
        <v>14</v>
      </c>
      <c r="B224" s="5" t="s">
        <v>165</v>
      </c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2"/>
    </row>
    <row r="225" spans="1:19" ht="15.75" customHeight="1">
      <c r="A225" s="9"/>
      <c r="B225" s="5" t="s">
        <v>166</v>
      </c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2"/>
    </row>
    <row r="226" spans="1:19" ht="15.75" customHeight="1">
      <c r="A226" s="9"/>
      <c r="B226" s="5" t="s">
        <v>167</v>
      </c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2"/>
    </row>
    <row r="227" spans="1:19" ht="15.75" customHeight="1">
      <c r="A227" s="9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2"/>
    </row>
    <row r="228" spans="1:19" ht="15.75" customHeight="1">
      <c r="A228" s="9">
        <v>15</v>
      </c>
      <c r="B228" s="5" t="s">
        <v>168</v>
      </c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2"/>
    </row>
    <row r="229" spans="1:19" ht="15.75" customHeight="1">
      <c r="A229" s="9"/>
      <c r="B229" s="5" t="s">
        <v>169</v>
      </c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2"/>
    </row>
    <row r="230" spans="1:19" ht="15.75" customHeight="1">
      <c r="A230" s="9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2"/>
    </row>
    <row r="231" spans="1:19" ht="15.75" customHeight="1">
      <c r="A231" s="9" t="s">
        <v>170</v>
      </c>
      <c r="B231" s="5" t="s">
        <v>171</v>
      </c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2"/>
    </row>
    <row r="232" spans="1:19" ht="15.75" customHeight="1">
      <c r="A232" s="9"/>
      <c r="B232" s="5"/>
      <c r="C232" s="5"/>
      <c r="D232" s="5"/>
      <c r="E232" s="5"/>
      <c r="F232" s="5"/>
      <c r="G232" s="5"/>
      <c r="H232" s="8"/>
      <c r="I232" s="5"/>
      <c r="J232" s="8" t="s">
        <v>172</v>
      </c>
      <c r="K232" s="5"/>
      <c r="L232" s="5"/>
      <c r="M232" s="5"/>
      <c r="N232" s="5"/>
      <c r="O232" s="5"/>
      <c r="P232" s="5"/>
      <c r="Q232" s="5"/>
      <c r="R232" s="5"/>
      <c r="S232" s="2"/>
    </row>
    <row r="233" spans="1:19" ht="15.75" customHeight="1">
      <c r="A233" s="9"/>
      <c r="B233" s="5"/>
      <c r="C233" s="5"/>
      <c r="D233" s="5"/>
      <c r="E233" s="5"/>
      <c r="F233" s="5"/>
      <c r="G233" s="5"/>
      <c r="H233" s="8"/>
      <c r="I233" s="5"/>
      <c r="J233" s="8" t="s">
        <v>173</v>
      </c>
      <c r="K233" s="5"/>
      <c r="L233" s="5"/>
      <c r="M233" s="8" t="s">
        <v>174</v>
      </c>
      <c r="N233" s="5"/>
      <c r="O233" s="5"/>
      <c r="P233" s="5"/>
      <c r="Q233" s="5"/>
      <c r="R233" s="5"/>
      <c r="S233" s="2"/>
    </row>
    <row r="234" spans="1:19" ht="15.75" customHeight="1">
      <c r="A234" s="9"/>
      <c r="B234" s="5"/>
      <c r="C234" s="5"/>
      <c r="D234" s="5"/>
      <c r="E234" s="5"/>
      <c r="F234" s="5"/>
      <c r="G234" s="5"/>
      <c r="H234" s="8"/>
      <c r="I234" s="5"/>
      <c r="J234" s="8" t="s">
        <v>175</v>
      </c>
      <c r="K234" s="5"/>
      <c r="L234" s="5"/>
      <c r="M234" s="8" t="s">
        <v>176</v>
      </c>
      <c r="N234" s="5"/>
      <c r="O234" s="5"/>
      <c r="P234" s="5"/>
      <c r="Q234" s="5"/>
      <c r="R234" s="5"/>
      <c r="S234" s="2"/>
    </row>
    <row r="235" spans="1:19" ht="15.75" customHeight="1">
      <c r="A235" s="9"/>
      <c r="B235" s="5"/>
      <c r="C235" s="5"/>
      <c r="D235" s="5"/>
      <c r="E235" s="5"/>
      <c r="F235" s="5"/>
      <c r="G235" s="5"/>
      <c r="H235" s="8" t="s">
        <v>16</v>
      </c>
      <c r="I235" s="5"/>
      <c r="J235" s="8" t="s">
        <v>177</v>
      </c>
      <c r="K235" s="5"/>
      <c r="L235" s="5"/>
      <c r="M235" s="8" t="s">
        <v>178</v>
      </c>
      <c r="N235" s="5"/>
      <c r="O235" s="5"/>
      <c r="P235" s="5"/>
      <c r="Q235" s="5"/>
      <c r="R235" s="5"/>
      <c r="S235" s="2"/>
    </row>
    <row r="236" spans="1:19" ht="15.75" customHeight="1">
      <c r="A236" s="9"/>
      <c r="B236" s="5"/>
      <c r="C236" s="5"/>
      <c r="D236" s="5"/>
      <c r="E236" s="5"/>
      <c r="F236" s="5"/>
      <c r="G236" s="5"/>
      <c r="H236" s="8" t="s">
        <v>80</v>
      </c>
      <c r="I236" s="5"/>
      <c r="J236" s="8" t="s">
        <v>80</v>
      </c>
      <c r="K236" s="5"/>
      <c r="L236" s="5"/>
      <c r="M236" s="8" t="s">
        <v>80</v>
      </c>
      <c r="N236" s="5"/>
      <c r="O236" s="5"/>
      <c r="P236" s="5"/>
      <c r="Q236" s="5"/>
      <c r="R236" s="5"/>
      <c r="S236" s="2"/>
    </row>
    <row r="237" spans="1:19" ht="15.75" customHeight="1">
      <c r="A237" s="9"/>
      <c r="B237" s="5"/>
      <c r="C237" s="5" t="s">
        <v>179</v>
      </c>
      <c r="D237" s="5"/>
      <c r="E237" s="5"/>
      <c r="F237" s="5"/>
      <c r="G237" s="5"/>
      <c r="H237" s="5">
        <v>51890</v>
      </c>
      <c r="I237" s="5"/>
      <c r="J237" s="47">
        <v>-228</v>
      </c>
      <c r="K237" s="5"/>
      <c r="L237" s="5"/>
      <c r="M237" s="5">
        <v>75827</v>
      </c>
      <c r="N237" s="5"/>
      <c r="O237" s="5"/>
      <c r="P237" s="5"/>
      <c r="Q237" s="5"/>
      <c r="R237" s="5"/>
      <c r="S237" s="2"/>
    </row>
    <row r="238" spans="1:19" ht="15.75" customHeight="1">
      <c r="A238" s="9"/>
      <c r="B238" s="5"/>
      <c r="C238" s="5" t="s">
        <v>180</v>
      </c>
      <c r="D238" s="5"/>
      <c r="E238" s="5"/>
      <c r="F238" s="5"/>
      <c r="G238" s="5"/>
      <c r="H238" s="5">
        <v>19160</v>
      </c>
      <c r="I238" s="5"/>
      <c r="J238" s="5">
        <v>3209</v>
      </c>
      <c r="K238" s="5"/>
      <c r="L238" s="5"/>
      <c r="M238" s="5">
        <v>40950</v>
      </c>
      <c r="N238" s="5"/>
      <c r="O238" s="5"/>
      <c r="P238" s="5"/>
      <c r="Q238" s="5"/>
      <c r="R238" s="5"/>
      <c r="S238" s="2"/>
    </row>
    <row r="239" spans="1:19" ht="15.75" customHeight="1">
      <c r="A239" s="9"/>
      <c r="B239" s="5"/>
      <c r="C239" s="5" t="s">
        <v>181</v>
      </c>
      <c r="D239" s="5"/>
      <c r="E239" s="5"/>
      <c r="F239" s="5"/>
      <c r="G239" s="5"/>
      <c r="H239" s="5">
        <v>10</v>
      </c>
      <c r="I239" s="5"/>
      <c r="J239" s="47">
        <v>-71</v>
      </c>
      <c r="K239" s="5"/>
      <c r="L239" s="5"/>
      <c r="M239" s="5">
        <v>5209</v>
      </c>
      <c r="N239" s="5"/>
      <c r="O239" s="5"/>
      <c r="P239" s="5"/>
      <c r="Q239" s="5"/>
      <c r="R239" s="5"/>
      <c r="S239" s="2"/>
    </row>
    <row r="240" spans="1:19" ht="15.75" customHeight="1">
      <c r="A240" s="9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2"/>
    </row>
    <row r="241" spans="1:19" ht="15.75" customHeight="1">
      <c r="A241" s="9"/>
      <c r="B241" s="5"/>
      <c r="C241" s="5"/>
      <c r="D241" s="5"/>
      <c r="E241" s="5"/>
      <c r="F241" s="5"/>
      <c r="G241" s="5"/>
      <c r="H241" s="7">
        <f>SUM(H237:H240)</f>
        <v>71060</v>
      </c>
      <c r="I241" s="5"/>
      <c r="J241" s="7">
        <f>SUM(J237:J240)</f>
        <v>2910</v>
      </c>
      <c r="K241" s="5"/>
      <c r="L241" s="5"/>
      <c r="M241" s="7">
        <f>SUM(M237:M240)</f>
        <v>121986</v>
      </c>
      <c r="N241" s="5"/>
      <c r="O241" s="5"/>
      <c r="P241" s="5"/>
      <c r="Q241" s="5"/>
      <c r="R241" s="5"/>
      <c r="S241" s="2"/>
    </row>
    <row r="242" spans="1:19" ht="15.75" customHeight="1">
      <c r="A242" s="9"/>
      <c r="B242" s="5"/>
      <c r="C242" s="5"/>
      <c r="D242" s="5"/>
      <c r="E242" s="5"/>
      <c r="F242" s="5"/>
      <c r="G242" s="5"/>
      <c r="H242" s="14"/>
      <c r="I242" s="5"/>
      <c r="J242" s="14"/>
      <c r="K242" s="5"/>
      <c r="L242" s="5"/>
      <c r="M242" s="14"/>
      <c r="N242" s="5"/>
      <c r="O242" s="5"/>
      <c r="P242" s="5"/>
      <c r="Q242" s="5"/>
      <c r="R242" s="5"/>
      <c r="S242" s="2"/>
    </row>
    <row r="243" spans="1:19" ht="15.75" customHeight="1">
      <c r="A243" s="9">
        <v>17</v>
      </c>
      <c r="B243" s="9" t="s">
        <v>182</v>
      </c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5"/>
      <c r="Q243" s="5"/>
      <c r="R243" s="5"/>
      <c r="S243" s="2"/>
    </row>
    <row r="244" spans="1:19" ht="15.75" customHeight="1">
      <c r="A244" s="9"/>
      <c r="B244" s="9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5"/>
      <c r="Q244" s="5"/>
      <c r="R244" s="5"/>
      <c r="S244" s="2"/>
    </row>
    <row r="245" spans="1:19" ht="15.75">
      <c r="A245" s="9">
        <v>18</v>
      </c>
      <c r="B245" s="9" t="s">
        <v>183</v>
      </c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5"/>
      <c r="Q245" s="5"/>
      <c r="R245" s="5"/>
      <c r="S245" s="2"/>
    </row>
    <row r="246" spans="1:19" ht="15.75">
      <c r="A246" s="9"/>
      <c r="B246" s="9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5"/>
      <c r="Q246" s="5"/>
      <c r="R246" s="5"/>
      <c r="S246" s="2"/>
    </row>
    <row r="247" spans="1:19" ht="15.75">
      <c r="A247" s="9"/>
      <c r="B247" s="9" t="s">
        <v>184</v>
      </c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5"/>
      <c r="Q247" s="5"/>
      <c r="R247" s="5"/>
      <c r="S247" s="2"/>
    </row>
    <row r="248" spans="1:19" ht="15.75">
      <c r="A248" s="9"/>
      <c r="B248" s="9" t="s">
        <v>185</v>
      </c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5"/>
      <c r="Q248" s="5"/>
      <c r="R248" s="5"/>
      <c r="S248" s="2"/>
    </row>
    <row r="249" spans="1:19" ht="15.75">
      <c r="A249" s="9"/>
      <c r="B249" s="9" t="s">
        <v>186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5"/>
      <c r="Q249" s="5"/>
      <c r="R249" s="5"/>
      <c r="S249" s="2"/>
    </row>
    <row r="250" spans="1:19" ht="15.75" hidden="1">
      <c r="A250" s="9"/>
      <c r="B250" s="9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5"/>
      <c r="Q250" s="5"/>
      <c r="R250" s="5"/>
      <c r="S250" s="2"/>
    </row>
    <row r="251" spans="1:19" ht="15.75">
      <c r="A251" s="9"/>
      <c r="B251" s="9" t="s">
        <v>187</v>
      </c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5"/>
      <c r="Q251" s="5"/>
      <c r="R251" s="5"/>
      <c r="S251" s="2"/>
    </row>
    <row r="252" spans="1:19" ht="15.75">
      <c r="A252" s="9"/>
      <c r="B252" s="9" t="s">
        <v>188</v>
      </c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5"/>
      <c r="Q252" s="5"/>
      <c r="R252" s="5"/>
      <c r="S252" s="2"/>
    </row>
    <row r="253" spans="1:19" ht="15.75">
      <c r="A253" s="9"/>
      <c r="B253" s="9" t="s">
        <v>189</v>
      </c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5"/>
      <c r="Q253" s="5"/>
      <c r="R253" s="5"/>
      <c r="S253" s="2"/>
    </row>
    <row r="254" spans="1:19" ht="15.75">
      <c r="A254" s="9"/>
      <c r="B254" s="9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5"/>
      <c r="Q254" s="5"/>
      <c r="R254" s="5"/>
      <c r="S254" s="2"/>
    </row>
    <row r="255" spans="1:18" ht="15.75">
      <c r="A255" s="13"/>
      <c r="B255" s="13" t="s">
        <v>190</v>
      </c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12"/>
      <c r="Q255" s="12"/>
      <c r="R255" s="12"/>
    </row>
    <row r="256" spans="1:18" ht="15.75">
      <c r="A256" s="13"/>
      <c r="B256" s="13" t="s">
        <v>191</v>
      </c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12"/>
      <c r="Q256" s="12"/>
      <c r="R256" s="12"/>
    </row>
    <row r="257" spans="1:18" ht="15.75">
      <c r="A257" s="13"/>
      <c r="B257" s="13" t="s">
        <v>192</v>
      </c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12"/>
      <c r="Q257" s="12"/>
      <c r="R257" s="12"/>
    </row>
    <row r="258" spans="1:18" ht="15.75">
      <c r="A258" s="13"/>
      <c r="B258" s="13" t="s">
        <v>193</v>
      </c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12"/>
      <c r="Q258" s="12"/>
      <c r="R258" s="12"/>
    </row>
    <row r="259" spans="1:18" ht="15.75">
      <c r="A259" s="13"/>
      <c r="B259" s="1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12"/>
      <c r="Q259" s="12"/>
      <c r="R259" s="12"/>
    </row>
    <row r="260" spans="1:18" ht="15.75">
      <c r="A260" s="13"/>
      <c r="B260" s="13" t="s">
        <v>194</v>
      </c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12"/>
      <c r="Q260" s="12"/>
      <c r="R260" s="12"/>
    </row>
    <row r="261" spans="1:18" ht="15.75">
      <c r="A261" s="13"/>
      <c r="B261" s="13" t="s">
        <v>195</v>
      </c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12"/>
      <c r="Q261" s="12"/>
      <c r="R261" s="12"/>
    </row>
    <row r="262" spans="1:18" ht="15.75">
      <c r="A262" s="13"/>
      <c r="B262" s="1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12"/>
      <c r="Q262" s="12"/>
      <c r="R262" s="12"/>
    </row>
    <row r="263" spans="1:18" ht="15.75">
      <c r="A263" s="13"/>
      <c r="B263" s="13" t="s">
        <v>196</v>
      </c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12"/>
      <c r="Q263" s="12"/>
      <c r="R263" s="12"/>
    </row>
    <row r="264" spans="1:18" ht="15.75">
      <c r="A264" s="13"/>
      <c r="B264" s="13" t="s">
        <v>197</v>
      </c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12"/>
      <c r="Q264" s="12"/>
      <c r="R264" s="12"/>
    </row>
    <row r="265" spans="1:18" ht="15.75">
      <c r="A265" s="13"/>
      <c r="B265" s="1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12"/>
      <c r="Q265" s="12"/>
      <c r="R265" s="12"/>
    </row>
    <row r="266" spans="1:19" ht="15.75">
      <c r="A266" s="9">
        <v>19</v>
      </c>
      <c r="B266" s="9" t="s">
        <v>198</v>
      </c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5"/>
      <c r="Q266" s="5"/>
      <c r="R266" s="5"/>
      <c r="S266" s="2"/>
    </row>
    <row r="267" spans="1:19" ht="15.75">
      <c r="A267" s="9"/>
      <c r="B267" s="9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5"/>
      <c r="Q267" s="5"/>
      <c r="R267" s="5"/>
      <c r="S267" s="2"/>
    </row>
    <row r="268" spans="1:19" ht="15.75">
      <c r="A268" s="9"/>
      <c r="B268" s="13" t="s">
        <v>199</v>
      </c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5"/>
      <c r="Q268" s="5"/>
      <c r="R268" s="5"/>
      <c r="S268" s="2"/>
    </row>
    <row r="269" spans="1:19" ht="15.75">
      <c r="A269" s="9"/>
      <c r="B269" s="13" t="s">
        <v>200</v>
      </c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5"/>
      <c r="Q269" s="5"/>
      <c r="R269" s="5"/>
      <c r="S269" s="2"/>
    </row>
    <row r="270" spans="1:19" ht="15.75">
      <c r="A270" s="9"/>
      <c r="B270" s="9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5"/>
      <c r="Q270" s="5"/>
      <c r="R270" s="5"/>
      <c r="S270" s="2"/>
    </row>
    <row r="271" spans="1:19" ht="15.75">
      <c r="A271" s="9">
        <v>20</v>
      </c>
      <c r="B271" s="9" t="s">
        <v>201</v>
      </c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5"/>
      <c r="Q271" s="5"/>
      <c r="R271" s="5"/>
      <c r="S271" s="2"/>
    </row>
    <row r="272" spans="1:19" ht="15.75">
      <c r="A272" s="9"/>
      <c r="B272" s="9" t="s">
        <v>202</v>
      </c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5"/>
      <c r="Q272" s="5"/>
      <c r="R272" s="5"/>
      <c r="S272" s="2"/>
    </row>
    <row r="273" spans="1:19" ht="15.75">
      <c r="A273" s="9"/>
      <c r="B273" s="9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5"/>
      <c r="Q273" s="5"/>
      <c r="R273" s="5"/>
      <c r="S273" s="2"/>
    </row>
    <row r="274" spans="1:19" ht="15.75">
      <c r="A274" s="9">
        <v>21</v>
      </c>
      <c r="B274" s="9" t="s">
        <v>203</v>
      </c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5"/>
      <c r="Q274" s="5"/>
      <c r="R274" s="5"/>
      <c r="S274" s="2"/>
    </row>
    <row r="275" spans="1:19" ht="15.75">
      <c r="A275" s="9"/>
      <c r="B275" s="9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5"/>
      <c r="Q275" s="5"/>
      <c r="R275" s="5"/>
      <c r="S275" s="2"/>
    </row>
    <row r="276" spans="1:19" ht="15.75">
      <c r="A276" s="5"/>
      <c r="B276" s="9" t="s">
        <v>204</v>
      </c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5"/>
      <c r="Q276" s="5"/>
      <c r="R276" s="5"/>
      <c r="S276" s="2"/>
    </row>
    <row r="277" spans="1:19" ht="15.75">
      <c r="A277" s="5"/>
      <c r="B277" s="9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5"/>
      <c r="Q277" s="5"/>
      <c r="R277" s="5"/>
      <c r="S277" s="2"/>
    </row>
    <row r="278" spans="1:19" ht="15.75">
      <c r="A278" s="9"/>
      <c r="B278" s="9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5"/>
      <c r="Q278" s="5"/>
      <c r="R278" s="5"/>
      <c r="S278" s="2"/>
    </row>
    <row r="279" spans="1:19" ht="15.75">
      <c r="A279" s="9">
        <v>22</v>
      </c>
      <c r="B279" s="9" t="s">
        <v>205</v>
      </c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5"/>
      <c r="Q279" s="5"/>
      <c r="R279" s="5"/>
      <c r="S279" s="2"/>
    </row>
    <row r="280" spans="1:19" ht="15.75">
      <c r="A280" s="9"/>
      <c r="B280" s="9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5"/>
      <c r="Q280" s="5"/>
      <c r="R280" s="5"/>
      <c r="S280" s="2"/>
    </row>
    <row r="281" spans="1:19" ht="15.75">
      <c r="A281" s="9"/>
      <c r="B281" s="9" t="s">
        <v>206</v>
      </c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5"/>
      <c r="Q281" s="5"/>
      <c r="R281" s="5"/>
      <c r="S281" s="2"/>
    </row>
    <row r="282" spans="1:19" ht="15.75">
      <c r="A282" s="9"/>
      <c r="B282" s="9" t="s">
        <v>207</v>
      </c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5"/>
      <c r="Q282" s="5"/>
      <c r="R282" s="5"/>
      <c r="S282" s="2"/>
    </row>
    <row r="283" spans="1:19" ht="15.75" customHeight="1" hidden="1">
      <c r="A283" s="9"/>
      <c r="B283" s="13" t="s">
        <v>208</v>
      </c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5"/>
      <c r="Q283" s="5"/>
      <c r="R283" s="5"/>
      <c r="S283" s="2"/>
    </row>
    <row r="284" spans="1:19" ht="15.75" customHeight="1" hidden="1">
      <c r="A284" s="9"/>
      <c r="B284" s="9" t="s">
        <v>209</v>
      </c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5"/>
      <c r="Q284" s="5"/>
      <c r="R284" s="5"/>
      <c r="S284" s="2"/>
    </row>
    <row r="285" spans="1:19" ht="15.75">
      <c r="A285" s="9"/>
      <c r="B285" s="9" t="s">
        <v>210</v>
      </c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5"/>
      <c r="Q285" s="5"/>
      <c r="R285" s="5"/>
      <c r="S285" s="2"/>
    </row>
    <row r="286" spans="1:19" ht="15.75">
      <c r="A286" s="9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5"/>
      <c r="Q286" s="5"/>
      <c r="R286" s="5"/>
      <c r="S286" s="2"/>
    </row>
    <row r="287" spans="1:19" ht="15.75">
      <c r="A287" s="5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5"/>
      <c r="Q287" s="5"/>
      <c r="R287" s="5"/>
      <c r="S287" s="2"/>
    </row>
    <row r="288" spans="1:19" ht="15.75">
      <c r="A288" s="5" t="s">
        <v>211</v>
      </c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5"/>
      <c r="Q288" s="5"/>
      <c r="R288" s="5"/>
      <c r="S288" s="2"/>
    </row>
    <row r="289" spans="1:19" ht="15.75">
      <c r="A289" s="5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5"/>
      <c r="Q289" s="5"/>
      <c r="R289" s="5"/>
      <c r="S289" s="2"/>
    </row>
    <row r="290" spans="1:19" ht="15.75">
      <c r="A290" s="5" t="s">
        <v>212</v>
      </c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5"/>
      <c r="Q290" s="5"/>
      <c r="R290" s="5"/>
      <c r="S290" s="2"/>
    </row>
    <row r="291" spans="1:19" ht="15.75">
      <c r="A291" s="5" t="s">
        <v>213</v>
      </c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2"/>
    </row>
    <row r="292" spans="1:19" ht="15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2"/>
    </row>
    <row r="293" spans="1:19" ht="15.75">
      <c r="A293" s="5" t="s">
        <v>214</v>
      </c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2"/>
    </row>
    <row r="294" spans="1:19" ht="15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2"/>
    </row>
    <row r="295" spans="1:18" ht="15.75">
      <c r="A295" s="12" t="s">
        <v>215</v>
      </c>
      <c r="B295" s="12"/>
      <c r="C295" s="27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</row>
    <row r="296" spans="1:18" ht="15.75">
      <c r="A296" s="28" t="s">
        <v>216</v>
      </c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</row>
    <row r="297" spans="1:18" ht="15.7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</row>
    <row r="298" spans="1:18" ht="15.7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</row>
    <row r="299" spans="1:18" ht="15.7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</row>
    <row r="300" spans="1:18" ht="15.7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</row>
    <row r="301" spans="1:18" ht="15.7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</row>
    <row r="302" spans="1:18" ht="15.7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</row>
    <row r="303" spans="1:18" ht="15.7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</row>
    <row r="304" spans="1:18" ht="15.7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</row>
    <row r="305" spans="1:18" ht="15.7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</row>
    <row r="306" spans="1:18" ht="15.7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</row>
    <row r="307" spans="1:18" ht="15.7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</row>
    <row r="308" spans="1:18" ht="15.7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</row>
    <row r="309" spans="1:18" ht="15.7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</row>
    <row r="310" spans="1:18" ht="15.7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</row>
    <row r="311" spans="1:18" ht="15.7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</row>
    <row r="312" spans="1:18" ht="15.7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</row>
    <row r="313" spans="1:18" ht="15.7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</row>
    <row r="314" spans="1:18" ht="15.7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</row>
    <row r="315" spans="1:18" ht="15.7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</row>
    <row r="316" spans="1:18" ht="15.7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</row>
    <row r="317" spans="1:18" ht="15.7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</row>
    <row r="318" spans="1:18" ht="15.7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</row>
    <row r="319" spans="1:18" ht="15.7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</row>
    <row r="320" spans="1:18" ht="15.7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</row>
    <row r="321" spans="1:18" ht="15.7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</row>
    <row r="322" spans="1:18" ht="15.7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</row>
    <row r="323" spans="1:18" ht="15.7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</row>
    <row r="324" spans="1:18" ht="15.7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</row>
    <row r="325" spans="1:18" ht="15.7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</row>
    <row r="326" spans="1:18" ht="15.7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</row>
    <row r="327" spans="1:18" ht="15.7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</row>
    <row r="328" spans="1:18" ht="15.7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</row>
    <row r="329" spans="1:18" ht="15.7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</row>
    <row r="330" spans="1:18" ht="15.7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</row>
    <row r="331" spans="1:18" ht="15.7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</row>
    <row r="332" spans="1:18" ht="15.7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</row>
    <row r="333" spans="1:18" ht="15.7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</row>
    <row r="334" spans="1:18" ht="15.7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</row>
    <row r="335" spans="1:18" ht="15.7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</row>
    <row r="336" spans="1:18" ht="15.7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</row>
    <row r="337" spans="1:18" ht="15.7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</row>
    <row r="338" spans="1:18" ht="15.7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</row>
    <row r="339" spans="1:18" ht="15.7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</row>
    <row r="340" spans="1:18" ht="15.7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</row>
    <row r="341" spans="1:18" ht="15.7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</row>
    <row r="342" spans="1:18" ht="15.7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</row>
    <row r="343" spans="1:18" ht="15.7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</row>
    <row r="344" spans="1:18" ht="15.7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</row>
  </sheetData>
  <printOptions/>
  <pageMargins left="0.5" right="0.5" top="0.5" bottom="0.25" header="0" footer="0"/>
  <pageSetup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0"/>
  <sheetViews>
    <sheetView showOutlineSymbols="0" zoomScale="87" zoomScaleNormal="87" workbookViewId="0" topLeftCell="A1">
      <selection activeCell="A1" sqref="A1"/>
    </sheetView>
  </sheetViews>
  <sheetFormatPr defaultColWidth="9.6640625" defaultRowHeight="15"/>
  <cols>
    <col min="1" max="2" width="9.6640625" style="29" customWidth="1"/>
    <col min="3" max="3" width="7.6640625" style="29" customWidth="1"/>
    <col min="4" max="4" width="12.6640625" style="29" customWidth="1"/>
    <col min="5" max="5" width="7.6640625" style="29" customWidth="1"/>
    <col min="6" max="6" width="5.6640625" style="29" customWidth="1"/>
    <col min="7" max="7" width="13.6640625" style="29" customWidth="1"/>
    <col min="8" max="8" width="6.6640625" style="29" customWidth="1"/>
    <col min="9" max="9" width="11.6640625" style="29" customWidth="1"/>
    <col min="10" max="10" width="6.6640625" style="29" customWidth="1"/>
    <col min="11" max="11" width="12.6640625" style="29" customWidth="1"/>
    <col min="12" max="12" width="7.6640625" style="29" customWidth="1"/>
    <col min="13" max="13" width="12.6640625" style="29" customWidth="1"/>
    <col min="14" max="14" width="9.6640625" style="29" customWidth="1"/>
    <col min="15" max="15" width="6.6640625" style="29" customWidth="1"/>
    <col min="16" max="17" width="9.6640625" style="29" customWidth="1"/>
    <col min="18" max="18" width="6.6640625" style="29" customWidth="1"/>
    <col min="19" max="19" width="9.6640625" style="29" customWidth="1"/>
    <col min="20" max="20" width="6.6640625" style="29" customWidth="1"/>
    <col min="21" max="21" width="12.6640625" style="29" customWidth="1"/>
    <col min="22" max="22" width="7.6640625" style="29" customWidth="1"/>
    <col min="23" max="23" width="12.6640625" style="29" customWidth="1"/>
    <col min="24" max="24" width="6.6640625" style="29" customWidth="1"/>
    <col min="25" max="25" width="14.6640625" style="29" customWidth="1"/>
    <col min="26" max="16384" width="9.6640625" style="29" customWidth="1"/>
  </cols>
  <sheetData>
    <row r="1" spans="1:25" ht="15">
      <c r="A1" s="30" t="s">
        <v>217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15">
      <c r="A2" s="31" t="s">
        <v>218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5">
      <c r="A4" s="30"/>
      <c r="B4" s="30"/>
      <c r="C4" s="30"/>
      <c r="D4" s="30" t="s">
        <v>219</v>
      </c>
      <c r="E4" s="30"/>
      <c r="F4" s="30"/>
      <c r="G4" s="30" t="s">
        <v>220</v>
      </c>
      <c r="H4" s="30"/>
      <c r="I4" s="30" t="s">
        <v>221</v>
      </c>
      <c r="J4" s="30"/>
      <c r="K4" s="30" t="s">
        <v>222</v>
      </c>
      <c r="L4" s="30"/>
      <c r="M4" s="30" t="s">
        <v>223</v>
      </c>
      <c r="N4" s="30"/>
      <c r="O4" s="30"/>
      <c r="P4" s="30" t="s">
        <v>224</v>
      </c>
      <c r="Q4" s="30"/>
      <c r="R4" s="30"/>
      <c r="S4" s="30" t="s">
        <v>225</v>
      </c>
      <c r="T4" s="30"/>
      <c r="U4" s="30" t="s">
        <v>226</v>
      </c>
      <c r="V4" s="30"/>
      <c r="W4" s="30" t="s">
        <v>227</v>
      </c>
      <c r="X4" s="30"/>
      <c r="Y4" s="30" t="s">
        <v>174</v>
      </c>
    </row>
    <row r="5" spans="1:25" ht="15">
      <c r="A5" s="30"/>
      <c r="B5" s="30"/>
      <c r="C5" s="30"/>
      <c r="D5" s="30" t="s">
        <v>228</v>
      </c>
      <c r="E5" s="30"/>
      <c r="F5" s="30"/>
      <c r="G5" s="30"/>
      <c r="H5" s="30"/>
      <c r="I5" s="30"/>
      <c r="J5" s="30"/>
      <c r="K5" s="30" t="s">
        <v>228</v>
      </c>
      <c r="L5" s="30"/>
      <c r="M5" s="30" t="s">
        <v>228</v>
      </c>
      <c r="N5" s="30"/>
      <c r="O5" s="30"/>
      <c r="P5" s="30" t="s">
        <v>228</v>
      </c>
      <c r="Q5" s="30"/>
      <c r="R5" s="30"/>
      <c r="S5" s="30"/>
      <c r="T5" s="30"/>
      <c r="U5" s="30"/>
      <c r="V5" s="30"/>
      <c r="W5" s="30"/>
      <c r="X5" s="30"/>
      <c r="Y5" s="30"/>
    </row>
    <row r="6" spans="1:25" ht="15">
      <c r="A6" s="30"/>
      <c r="B6" s="30"/>
      <c r="C6" s="30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ht="15">
      <c r="A7" s="30" t="s">
        <v>229</v>
      </c>
      <c r="B7" s="30" t="s">
        <v>230</v>
      </c>
      <c r="C7" s="30"/>
      <c r="D7" s="32">
        <v>275999.5</v>
      </c>
      <c r="E7" s="32"/>
      <c r="F7" s="32"/>
      <c r="G7" s="32"/>
      <c r="H7" s="32"/>
      <c r="I7" s="32"/>
      <c r="J7" s="32"/>
      <c r="K7" s="32"/>
      <c r="L7" s="32"/>
      <c r="M7" s="32">
        <v>190665.68</v>
      </c>
      <c r="N7" s="32"/>
      <c r="O7" s="32"/>
      <c r="P7" s="32">
        <v>55254.81</v>
      </c>
      <c r="Q7" s="32"/>
      <c r="R7" s="32"/>
      <c r="S7" s="32"/>
      <c r="T7" s="32"/>
      <c r="U7" s="32">
        <v>822852.81</v>
      </c>
      <c r="V7" s="32"/>
      <c r="W7" s="32"/>
      <c r="X7" s="32"/>
      <c r="Y7" s="32">
        <f>SUM(D7:X7)</f>
        <v>1344772.8</v>
      </c>
    </row>
    <row r="8" spans="1:25" ht="15">
      <c r="A8" s="30"/>
      <c r="B8" s="30"/>
      <c r="C8" s="30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15">
      <c r="A9" s="30" t="s">
        <v>231</v>
      </c>
      <c r="B9" s="30" t="s">
        <v>230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>
        <v>40691.56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>
        <f>SUM(C9:X9)</f>
        <v>40691.56</v>
      </c>
    </row>
    <row r="10" spans="1:25" ht="15">
      <c r="A10" s="30"/>
      <c r="B10" s="30"/>
      <c r="C10" s="30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5" ht="15">
      <c r="A11" s="30" t="s">
        <v>232</v>
      </c>
      <c r="B11" s="30" t="s">
        <v>230</v>
      </c>
      <c r="C11" s="30"/>
      <c r="D11" s="32">
        <v>482291.48</v>
      </c>
      <c r="E11" s="32"/>
      <c r="F11" s="32"/>
      <c r="G11" s="32">
        <v>3229000</v>
      </c>
      <c r="H11" s="32"/>
      <c r="I11" s="32"/>
      <c r="J11" s="32"/>
      <c r="K11" s="32">
        <v>266451.62</v>
      </c>
      <c r="L11" s="32"/>
      <c r="M11" s="32">
        <v>39411.38</v>
      </c>
      <c r="N11" s="32"/>
      <c r="O11" s="32"/>
      <c r="P11" s="32">
        <v>3950.74</v>
      </c>
      <c r="Q11" s="32"/>
      <c r="R11" s="32"/>
      <c r="S11" s="32"/>
      <c r="T11" s="32"/>
      <c r="U11" s="32"/>
      <c r="V11" s="32"/>
      <c r="W11" s="32"/>
      <c r="X11" s="32"/>
      <c r="Y11" s="32">
        <f>SUM(B11:X11)</f>
        <v>4021105.22</v>
      </c>
    </row>
    <row r="12" spans="1:25" ht="15">
      <c r="A12" s="30"/>
      <c r="B12" s="30"/>
      <c r="C12" s="30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15">
      <c r="A13" s="30" t="s">
        <v>233</v>
      </c>
      <c r="B13" s="30" t="s">
        <v>230</v>
      </c>
      <c r="C13" s="30"/>
      <c r="D13" s="32"/>
      <c r="E13" s="32"/>
      <c r="F13" s="32"/>
      <c r="G13" s="32"/>
      <c r="H13" s="32"/>
      <c r="I13" s="32"/>
      <c r="J13" s="32"/>
      <c r="K13" s="32">
        <v>279743.23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>
        <f>SUM(D13:X13)</f>
        <v>279743.23</v>
      </c>
    </row>
    <row r="14" spans="1:25" ht="15">
      <c r="A14" s="30"/>
      <c r="B14" s="30"/>
      <c r="C14" s="30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ht="15">
      <c r="A15" s="30" t="s">
        <v>234</v>
      </c>
      <c r="B15" s="30"/>
      <c r="C15" s="30"/>
      <c r="D15" s="32">
        <v>1491319.58</v>
      </c>
      <c r="E15" s="32"/>
      <c r="F15" s="32"/>
      <c r="G15" s="32"/>
      <c r="H15" s="32"/>
      <c r="I15" s="32"/>
      <c r="J15" s="32"/>
      <c r="K15" s="32">
        <v>1966500</v>
      </c>
      <c r="L15" s="32"/>
      <c r="M15" s="32">
        <v>2389012.6</v>
      </c>
      <c r="N15" s="32"/>
      <c r="O15" s="32"/>
      <c r="P15" s="32"/>
      <c r="Q15" s="32"/>
      <c r="R15" s="32"/>
      <c r="S15" s="32"/>
      <c r="T15" s="32"/>
      <c r="U15" s="32"/>
      <c r="V15" s="32"/>
      <c r="W15" s="33">
        <v>500000</v>
      </c>
      <c r="X15" s="32" t="s">
        <v>235</v>
      </c>
      <c r="Y15" s="32">
        <f>SUM(D15:X15)</f>
        <v>6346832.18</v>
      </c>
    </row>
    <row r="16" spans="1:25" ht="15">
      <c r="A16" s="30"/>
      <c r="B16" s="30"/>
      <c r="C16" s="30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ht="15">
      <c r="A17" s="30" t="s">
        <v>236</v>
      </c>
      <c r="B17" s="30" t="s">
        <v>230</v>
      </c>
      <c r="C17" s="30"/>
      <c r="D17" s="32">
        <v>2096026.51</v>
      </c>
      <c r="E17" s="32"/>
      <c r="F17" s="32"/>
      <c r="G17" s="32">
        <v>7119000</v>
      </c>
      <c r="H17" s="32"/>
      <c r="I17" s="32"/>
      <c r="J17" s="32"/>
      <c r="K17" s="32">
        <v>1053998.6</v>
      </c>
      <c r="L17" s="32"/>
      <c r="M17" s="32">
        <v>1040588.29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>
        <f>SUM(D17:X17)</f>
        <v>11309613.399999999</v>
      </c>
    </row>
    <row r="18" spans="1:25" ht="15">
      <c r="A18" s="30"/>
      <c r="B18" s="30"/>
      <c r="C18" s="30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15">
      <c r="A19" s="30" t="s">
        <v>237</v>
      </c>
      <c r="B19" s="30" t="s">
        <v>230</v>
      </c>
      <c r="C19" s="30"/>
      <c r="D19" s="32">
        <v>1496374.76</v>
      </c>
      <c r="E19" s="32"/>
      <c r="F19" s="32"/>
      <c r="G19" s="32">
        <v>2934000</v>
      </c>
      <c r="H19" s="32"/>
      <c r="I19" s="32">
        <v>2253488.91</v>
      </c>
      <c r="J19" s="32"/>
      <c r="K19" s="32"/>
      <c r="L19" s="32"/>
      <c r="M19" s="32">
        <v>526792.35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>
        <f>SUM(D19:X19)</f>
        <v>7210656.02</v>
      </c>
    </row>
    <row r="20" spans="1:25" ht="15">
      <c r="A20" s="30"/>
      <c r="B20" s="30"/>
      <c r="C20" s="30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 ht="15">
      <c r="A21" s="30" t="s">
        <v>238</v>
      </c>
      <c r="B21" s="30" t="s">
        <v>230</v>
      </c>
      <c r="C21" s="30"/>
      <c r="D21" s="32"/>
      <c r="E21" s="32"/>
      <c r="F21" s="32"/>
      <c r="G21" s="32"/>
      <c r="H21" s="32"/>
      <c r="I21" s="32"/>
      <c r="J21" s="32"/>
      <c r="K21" s="32"/>
      <c r="L21" s="32"/>
      <c r="M21" s="32">
        <v>69670</v>
      </c>
      <c r="N21" s="32"/>
      <c r="O21" s="32"/>
      <c r="P21" s="32"/>
      <c r="Q21" s="32"/>
      <c r="R21" s="32"/>
      <c r="S21" s="32"/>
      <c r="T21" s="32"/>
      <c r="U21" s="32"/>
      <c r="V21" s="32"/>
      <c r="W21" s="32">
        <v>1136316.47</v>
      </c>
      <c r="X21" s="32"/>
      <c r="Y21" s="32">
        <f>SUM(D21:X21)</f>
        <v>1205986.47</v>
      </c>
    </row>
    <row r="22" spans="1:25" ht="15">
      <c r="A22" s="30"/>
      <c r="B22" s="30"/>
      <c r="C22" s="30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 ht="15">
      <c r="A23" s="30" t="s">
        <v>239</v>
      </c>
      <c r="B23" s="30"/>
      <c r="C23" s="30"/>
      <c r="D23" s="32">
        <v>-5842011.83</v>
      </c>
      <c r="E23" s="32"/>
      <c r="F23" s="32"/>
      <c r="G23" s="32">
        <f>-7119000-2934000-3229000</f>
        <v>-13282000</v>
      </c>
      <c r="H23" s="32"/>
      <c r="I23" s="32">
        <v>-2253488.91</v>
      </c>
      <c r="J23" s="32"/>
      <c r="K23" s="32">
        <v>-726587.14</v>
      </c>
      <c r="L23" s="32"/>
      <c r="M23" s="32">
        <v>-1980413.4</v>
      </c>
      <c r="N23" s="32"/>
      <c r="O23" s="32"/>
      <c r="P23" s="32">
        <v>-59205.55</v>
      </c>
      <c r="Q23" s="32"/>
      <c r="R23" s="32"/>
      <c r="S23" s="32"/>
      <c r="T23" s="32"/>
      <c r="U23" s="32"/>
      <c r="V23" s="32"/>
      <c r="W23" s="32">
        <f>-1136316.47-500000</f>
        <v>-1636316.47</v>
      </c>
      <c r="X23" s="32"/>
      <c r="Y23" s="32">
        <f>SUM(D23:X23)</f>
        <v>-25780023.299999997</v>
      </c>
    </row>
    <row r="24" spans="1:26" ht="15.75">
      <c r="A24" s="30"/>
      <c r="B24" s="30"/>
      <c r="C24" s="30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4"/>
    </row>
    <row r="25" spans="1:25" ht="15">
      <c r="A25" s="30"/>
      <c r="B25" s="30"/>
      <c r="C25" s="30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1:25" ht="15.75">
      <c r="A26" s="30" t="s">
        <v>240</v>
      </c>
      <c r="B26" s="30"/>
      <c r="C26" s="30"/>
      <c r="D26" s="35">
        <f>SUM(D7:D25)</f>
        <v>0</v>
      </c>
      <c r="E26" s="35"/>
      <c r="F26" s="35"/>
      <c r="G26" s="35">
        <f>SUM(G7:G25)</f>
        <v>0</v>
      </c>
      <c r="H26" s="35"/>
      <c r="I26" s="35">
        <f>SUM(I7:I25)</f>
        <v>0</v>
      </c>
      <c r="J26" s="35"/>
      <c r="K26" s="35">
        <f>SUM(K7:K25)</f>
        <v>2840106.31</v>
      </c>
      <c r="L26" s="35"/>
      <c r="M26" s="35">
        <f>SUM(M7:M25)</f>
        <v>2316418.4600000004</v>
      </c>
      <c r="N26" s="35"/>
      <c r="O26" s="35"/>
      <c r="P26" s="35">
        <v>0</v>
      </c>
      <c r="Q26" s="35"/>
      <c r="R26" s="35"/>
      <c r="S26" s="35"/>
      <c r="T26" s="35"/>
      <c r="U26" s="35">
        <f>SUM(U7:U25)</f>
        <v>822852.81</v>
      </c>
      <c r="V26" s="35"/>
      <c r="W26" s="35">
        <v>0</v>
      </c>
      <c r="X26" s="35"/>
      <c r="Y26" s="35">
        <f>SUM(Y6:Y25)</f>
        <v>5979377.580000002</v>
      </c>
    </row>
    <row r="27" spans="1:25" ht="15">
      <c r="A27" s="30"/>
      <c r="B27" s="30"/>
      <c r="C27" s="30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 ht="15">
      <c r="A28" s="30"/>
      <c r="B28" s="30"/>
      <c r="C28" s="30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 ht="15">
      <c r="A29" s="31" t="s">
        <v>241</v>
      </c>
      <c r="B29" s="30"/>
      <c r="C29" s="30"/>
      <c r="D29" s="30" t="s">
        <v>219</v>
      </c>
      <c r="E29" s="30"/>
      <c r="F29" s="30"/>
      <c r="G29" s="30" t="s">
        <v>220</v>
      </c>
      <c r="H29" s="30"/>
      <c r="I29" s="30" t="s">
        <v>221</v>
      </c>
      <c r="J29" s="30"/>
      <c r="K29" s="30" t="s">
        <v>222</v>
      </c>
      <c r="L29" s="30"/>
      <c r="M29" s="30" t="s">
        <v>223</v>
      </c>
      <c r="N29" s="30"/>
      <c r="O29" s="30"/>
      <c r="P29" s="30" t="s">
        <v>224</v>
      </c>
      <c r="Q29" s="30"/>
      <c r="R29" s="30"/>
      <c r="S29" s="30" t="s">
        <v>225</v>
      </c>
      <c r="T29" s="30"/>
      <c r="U29" s="30" t="s">
        <v>226</v>
      </c>
      <c r="V29" s="30"/>
      <c r="W29" s="30" t="s">
        <v>227</v>
      </c>
      <c r="X29" s="30"/>
      <c r="Y29" s="30"/>
    </row>
    <row r="30" spans="1:25" ht="1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 ht="15">
      <c r="A31" s="30" t="s">
        <v>229</v>
      </c>
      <c r="B31" s="30"/>
      <c r="C31" s="30"/>
      <c r="D31" s="32">
        <v>275999.5</v>
      </c>
      <c r="E31" s="32"/>
      <c r="F31" s="32"/>
      <c r="G31" s="32"/>
      <c r="H31" s="32"/>
      <c r="I31" s="32"/>
      <c r="J31" s="32"/>
      <c r="K31" s="32"/>
      <c r="L31" s="32"/>
      <c r="M31" s="32">
        <v>44001.48</v>
      </c>
      <c r="N31" s="32"/>
      <c r="O31" s="32"/>
      <c r="P31" s="32">
        <v>55254.81</v>
      </c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5">
      <c r="A32" s="30"/>
      <c r="B32" s="30"/>
      <c r="C32" s="30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 ht="15">
      <c r="A33" s="30" t="s">
        <v>231</v>
      </c>
      <c r="B33" s="30"/>
      <c r="C33" s="30"/>
      <c r="D33" s="32"/>
      <c r="E33" s="32"/>
      <c r="F33" s="32"/>
      <c r="G33" s="32"/>
      <c r="H33" s="32"/>
      <c r="I33" s="32"/>
      <c r="J33" s="32"/>
      <c r="K33" s="32"/>
      <c r="L33" s="32"/>
      <c r="M33" s="32">
        <v>40691.56</v>
      </c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 ht="15">
      <c r="A34" s="30"/>
      <c r="B34" s="30"/>
      <c r="C34" s="30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 ht="15">
      <c r="A35" s="30" t="s">
        <v>232</v>
      </c>
      <c r="B35" s="30"/>
      <c r="C35" s="30"/>
      <c r="D35" s="32">
        <v>482291.48</v>
      </c>
      <c r="E35" s="32"/>
      <c r="F35" s="32"/>
      <c r="G35" s="32">
        <v>3229000</v>
      </c>
      <c r="H35" s="32"/>
      <c r="I35" s="32"/>
      <c r="J35" s="32"/>
      <c r="K35" s="32">
        <v>125686.32</v>
      </c>
      <c r="L35" s="32"/>
      <c r="M35" s="36">
        <v>38493.38</v>
      </c>
      <c r="N35" s="32"/>
      <c r="O35" s="32"/>
      <c r="P35" s="32">
        <v>3950.74</v>
      </c>
      <c r="Q35" s="32"/>
      <c r="R35" s="32"/>
      <c r="S35" s="32"/>
      <c r="T35" s="32"/>
      <c r="U35" s="32"/>
      <c r="V35" s="32"/>
      <c r="W35" s="32"/>
      <c r="X35" s="32"/>
      <c r="Y35" s="32"/>
    </row>
    <row r="36" spans="1:25" ht="15">
      <c r="A36" s="30"/>
      <c r="B36" s="30"/>
      <c r="C36" s="30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 ht="15">
      <c r="A37" s="30" t="s">
        <v>233</v>
      </c>
      <c r="B37" s="30"/>
      <c r="C37" s="30"/>
      <c r="D37" s="32"/>
      <c r="E37" s="32"/>
      <c r="F37" s="32"/>
      <c r="G37" s="32"/>
      <c r="H37" s="32"/>
      <c r="I37" s="32"/>
      <c r="J37" s="32"/>
      <c r="K37" s="36">
        <v>27588</v>
      </c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 ht="15">
      <c r="A38" s="30"/>
      <c r="B38" s="30"/>
      <c r="C38" s="30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5" ht="15">
      <c r="A39" s="30" t="s">
        <v>234</v>
      </c>
      <c r="B39" s="30"/>
      <c r="C39" s="30"/>
      <c r="D39" s="32">
        <v>1491319.58</v>
      </c>
      <c r="E39" s="32"/>
      <c r="F39" s="32"/>
      <c r="G39" s="32"/>
      <c r="H39" s="32"/>
      <c r="I39" s="32"/>
      <c r="J39" s="32"/>
      <c r="K39" s="36">
        <v>402000</v>
      </c>
      <c r="L39" s="32"/>
      <c r="M39" s="36">
        <v>785509.93</v>
      </c>
      <c r="N39" s="32"/>
      <c r="O39" s="32"/>
      <c r="P39" s="32"/>
      <c r="Q39" s="32"/>
      <c r="R39" s="32"/>
      <c r="S39" s="32"/>
      <c r="T39" s="32"/>
      <c r="U39" s="32"/>
      <c r="V39" s="32"/>
      <c r="W39" s="32">
        <v>500000</v>
      </c>
      <c r="X39" s="32"/>
      <c r="Y39" s="32"/>
    </row>
    <row r="40" spans="1:25" ht="15">
      <c r="A40" s="30"/>
      <c r="B40" s="30"/>
      <c r="C40" s="30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1:25" ht="15">
      <c r="A41" s="30" t="s">
        <v>236</v>
      </c>
      <c r="B41" s="30"/>
      <c r="C41" s="30"/>
      <c r="D41" s="32">
        <v>2096026.51</v>
      </c>
      <c r="E41" s="32"/>
      <c r="F41" s="32"/>
      <c r="G41" s="32">
        <v>7119000</v>
      </c>
      <c r="H41" s="32"/>
      <c r="I41" s="32"/>
      <c r="J41" s="32"/>
      <c r="K41" s="36">
        <v>171312.82</v>
      </c>
      <c r="L41" s="32"/>
      <c r="M41" s="37">
        <v>774870.38</v>
      </c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</row>
    <row r="42" spans="1:25" ht="15">
      <c r="A42" s="30"/>
      <c r="B42" s="30"/>
      <c r="C42" s="30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 spans="1:25" ht="15">
      <c r="A43" s="30" t="s">
        <v>237</v>
      </c>
      <c r="B43" s="30"/>
      <c r="C43" s="30"/>
      <c r="D43" s="32">
        <v>1496374.76</v>
      </c>
      <c r="E43" s="32"/>
      <c r="F43" s="32"/>
      <c r="G43" s="32">
        <v>2934000</v>
      </c>
      <c r="H43" s="32"/>
      <c r="I43" s="32">
        <v>2253488.91</v>
      </c>
      <c r="J43" s="32"/>
      <c r="K43" s="30"/>
      <c r="L43" s="32"/>
      <c r="M43" s="36">
        <v>281654.67</v>
      </c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5" ht="15">
      <c r="A44" s="30"/>
      <c r="B44" s="30"/>
      <c r="C44" s="30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1:25" ht="15">
      <c r="A45" s="30" t="s">
        <v>238</v>
      </c>
      <c r="B45" s="30"/>
      <c r="C45" s="30"/>
      <c r="D45" s="32"/>
      <c r="E45" s="32"/>
      <c r="F45" s="32"/>
      <c r="G45" s="32"/>
      <c r="H45" s="32"/>
      <c r="I45" s="32"/>
      <c r="J45" s="32"/>
      <c r="K45" s="32"/>
      <c r="L45" s="32"/>
      <c r="M45" s="32">
        <v>15192</v>
      </c>
      <c r="N45" s="32"/>
      <c r="O45" s="32"/>
      <c r="P45" s="32"/>
      <c r="Q45" s="32"/>
      <c r="R45" s="32"/>
      <c r="S45" s="32"/>
      <c r="T45" s="32"/>
      <c r="U45" s="32"/>
      <c r="V45" s="32"/>
      <c r="W45" s="32">
        <v>1136316.47</v>
      </c>
      <c r="X45" s="32"/>
      <c r="Y45" s="32"/>
    </row>
    <row r="46" spans="1:25" ht="15">
      <c r="A46" s="30"/>
      <c r="B46" s="30"/>
      <c r="C46" s="30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5">
      <c r="A47" s="30" t="s">
        <v>174</v>
      </c>
      <c r="B47" s="30"/>
      <c r="C47" s="30"/>
      <c r="D47" s="32">
        <f>SUM(D31:D45)</f>
        <v>5842011.83</v>
      </c>
      <c r="E47" s="32"/>
      <c r="F47" s="32"/>
      <c r="G47" s="32">
        <f>SUM(G31:G45)</f>
        <v>13282000</v>
      </c>
      <c r="H47" s="32"/>
      <c r="I47" s="32">
        <f>SUM(I31:I45)</f>
        <v>2253488.91</v>
      </c>
      <c r="J47" s="32"/>
      <c r="K47" s="32">
        <f>SUM(K31:K45)</f>
        <v>726587.1400000001</v>
      </c>
      <c r="L47" s="32"/>
      <c r="M47" s="32">
        <f>SUM(M31:M45)</f>
        <v>1980413.4</v>
      </c>
      <c r="N47" s="32"/>
      <c r="O47" s="32"/>
      <c r="P47" s="32">
        <f>SUM(P31:P45)</f>
        <v>59205.549999999996</v>
      </c>
      <c r="Q47" s="32"/>
      <c r="R47" s="32"/>
      <c r="S47" s="32"/>
      <c r="T47" s="32"/>
      <c r="U47" s="32">
        <f>SUM(U31:U45)</f>
        <v>0</v>
      </c>
      <c r="V47" s="32"/>
      <c r="W47" s="32">
        <f>SUM(W31:W45)</f>
        <v>1636316.47</v>
      </c>
      <c r="X47" s="32"/>
      <c r="Y47" s="32">
        <f>SUM(D47:W47)</f>
        <v>25780023.299999997</v>
      </c>
    </row>
    <row r="48" spans="1:25" ht="15">
      <c r="A48" s="30"/>
      <c r="B48" s="30"/>
      <c r="C48" s="30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25" ht="15">
      <c r="A49" s="30" t="s">
        <v>242</v>
      </c>
      <c r="B49" s="30"/>
      <c r="C49" s="30"/>
      <c r="D49" s="32">
        <f>D23</f>
        <v>-5842011.83</v>
      </c>
      <c r="E49" s="30"/>
      <c r="F49" s="30"/>
      <c r="G49" s="32">
        <f>G23</f>
        <v>-13282000</v>
      </c>
      <c r="H49" s="30"/>
      <c r="I49" s="32">
        <f>I23</f>
        <v>-2253488.91</v>
      </c>
      <c r="J49" s="30"/>
      <c r="K49" s="32">
        <f>K23</f>
        <v>-726587.14</v>
      </c>
      <c r="L49" s="30"/>
      <c r="M49" s="32">
        <f>M23</f>
        <v>-1980413.4</v>
      </c>
      <c r="N49" s="30"/>
      <c r="O49" s="30"/>
      <c r="P49" s="32">
        <f>P23</f>
        <v>-59205.55</v>
      </c>
      <c r="Q49" s="30"/>
      <c r="R49" s="30"/>
      <c r="S49" s="30"/>
      <c r="T49" s="30"/>
      <c r="U49" s="32">
        <f>U23</f>
        <v>0</v>
      </c>
      <c r="V49" s="30"/>
      <c r="W49" s="32">
        <f>W23</f>
        <v>-1636316.47</v>
      </c>
      <c r="X49" s="30"/>
      <c r="Y49" s="32">
        <f>Y23</f>
        <v>-25780023.299999997</v>
      </c>
    </row>
    <row r="50" spans="1:25" ht="1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</row>
    <row r="51" spans="1:25" ht="15">
      <c r="A51" s="30" t="s">
        <v>243</v>
      </c>
      <c r="B51" s="30"/>
      <c r="C51" s="30"/>
      <c r="D51" s="32">
        <f>D47+D49</f>
        <v>0</v>
      </c>
      <c r="E51" s="30"/>
      <c r="F51" s="30"/>
      <c r="G51" s="32">
        <f>G47+G49</f>
        <v>0</v>
      </c>
      <c r="H51" s="30"/>
      <c r="I51" s="32">
        <f>I47+I49</f>
        <v>0</v>
      </c>
      <c r="J51" s="30"/>
      <c r="K51" s="32">
        <f>K47+K49</f>
        <v>0</v>
      </c>
      <c r="L51" s="30"/>
      <c r="M51" s="32">
        <f>M47+M49</f>
        <v>0</v>
      </c>
      <c r="N51" s="30"/>
      <c r="O51" s="30"/>
      <c r="P51" s="32">
        <f>P47+P49</f>
        <v>0</v>
      </c>
      <c r="Q51" s="30"/>
      <c r="R51" s="30"/>
      <c r="S51" s="30"/>
      <c r="T51" s="30"/>
      <c r="U51" s="32">
        <f>U47+U49</f>
        <v>0</v>
      </c>
      <c r="V51" s="30"/>
      <c r="W51" s="32">
        <f>W47+W49</f>
        <v>0</v>
      </c>
      <c r="X51" s="30"/>
      <c r="Y51" s="32">
        <f>Y47+Y49</f>
        <v>0</v>
      </c>
    </row>
    <row r="52" spans="1:25" ht="1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</row>
    <row r="53" spans="1:25" ht="1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</row>
    <row r="64" spans="1:4" ht="15">
      <c r="A64" s="29" t="s">
        <v>244</v>
      </c>
      <c r="B64" s="29" t="s">
        <v>245</v>
      </c>
      <c r="D64" s="25" t="s">
        <v>246</v>
      </c>
    </row>
    <row r="65" ht="15">
      <c r="D65" s="29" t="s">
        <v>247</v>
      </c>
    </row>
    <row r="67" spans="1:4" ht="15">
      <c r="A67" s="29" t="s">
        <v>248</v>
      </c>
      <c r="D67" s="29" t="s">
        <v>249</v>
      </c>
    </row>
    <row r="68" spans="3:4" ht="15">
      <c r="C68" s="29" t="s">
        <v>250</v>
      </c>
      <c r="D68" s="25" t="s">
        <v>251</v>
      </c>
    </row>
    <row r="70" ht="15">
      <c r="D70" s="29" t="s">
        <v>252</v>
      </c>
    </row>
    <row r="74" spans="1:4" ht="15">
      <c r="A74" s="29" t="s">
        <v>253</v>
      </c>
      <c r="D74" s="29" t="s">
        <v>254</v>
      </c>
    </row>
    <row r="75" spans="3:4" ht="15">
      <c r="C75" s="29" t="s">
        <v>250</v>
      </c>
      <c r="D75" s="25" t="s">
        <v>255</v>
      </c>
    </row>
    <row r="77" ht="15">
      <c r="D77" s="29" t="s">
        <v>252</v>
      </c>
    </row>
    <row r="80" ht="15">
      <c r="A80" s="29" t="s">
        <v>256</v>
      </c>
    </row>
  </sheetData>
  <printOptions/>
  <pageMargins left="0.5" right="0.5" top="0.5" bottom="0.25" header="0" footer="0"/>
  <pageSetup orientation="portrait" scale="64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showOutlineSymbols="0" zoomScale="87" zoomScaleNormal="87" workbookViewId="0" topLeftCell="A1">
      <selection activeCell="A48" sqref="A48"/>
    </sheetView>
  </sheetViews>
  <sheetFormatPr defaultColWidth="9.6640625" defaultRowHeight="15"/>
  <cols>
    <col min="1" max="4" width="9.6640625" style="38" customWidth="1"/>
    <col min="5" max="5" width="11.6640625" style="38" customWidth="1"/>
    <col min="6" max="6" width="9.6640625" style="38" customWidth="1"/>
    <col min="7" max="7" width="11.6640625" style="38" customWidth="1"/>
    <col min="8" max="16384" width="9.6640625" style="38" customWidth="1"/>
  </cols>
  <sheetData>
    <row r="1" spans="1:13" ht="15.75">
      <c r="A1" s="34" t="s">
        <v>257</v>
      </c>
      <c r="E1" s="39"/>
      <c r="F1" s="39"/>
      <c r="G1" s="39"/>
      <c r="H1" s="39"/>
      <c r="I1" s="39"/>
      <c r="J1" s="39"/>
      <c r="K1" s="39"/>
      <c r="L1" s="39"/>
      <c r="M1" s="39"/>
    </row>
    <row r="2" spans="1:13" ht="15.75">
      <c r="A2" s="34" t="s">
        <v>258</v>
      </c>
      <c r="E2" s="39"/>
      <c r="F2" s="39"/>
      <c r="G2" s="39"/>
      <c r="H2" s="39"/>
      <c r="I2" s="39"/>
      <c r="J2" s="39"/>
      <c r="K2" s="39"/>
      <c r="L2" s="39"/>
      <c r="M2" s="39"/>
    </row>
    <row r="3" spans="5:13" ht="15">
      <c r="E3" s="39" t="s">
        <v>81</v>
      </c>
      <c r="F3" s="39" t="s">
        <v>259</v>
      </c>
      <c r="G3" s="39" t="s">
        <v>260</v>
      </c>
      <c r="H3" s="39" t="s">
        <v>261</v>
      </c>
      <c r="I3" s="39" t="s">
        <v>262</v>
      </c>
      <c r="J3" s="39" t="s">
        <v>263</v>
      </c>
      <c r="K3" s="39" t="s">
        <v>264</v>
      </c>
      <c r="L3" s="39"/>
      <c r="M3" s="39" t="s">
        <v>174</v>
      </c>
    </row>
    <row r="4" spans="5:13" ht="15">
      <c r="E4" s="39"/>
      <c r="F4" s="39" t="s">
        <v>265</v>
      </c>
      <c r="G4" s="39" t="s">
        <v>266</v>
      </c>
      <c r="H4" s="39" t="s">
        <v>267</v>
      </c>
      <c r="I4" s="39" t="s">
        <v>268</v>
      </c>
      <c r="J4" s="39" t="s">
        <v>269</v>
      </c>
      <c r="K4" s="39" t="s">
        <v>176</v>
      </c>
      <c r="L4" s="39"/>
      <c r="M4" s="39" t="s">
        <v>176</v>
      </c>
    </row>
    <row r="5" spans="5:13" ht="15">
      <c r="E5" s="39"/>
      <c r="F5" s="39"/>
      <c r="G5" s="39"/>
      <c r="H5" s="39"/>
      <c r="I5" s="39"/>
      <c r="J5" s="39"/>
      <c r="K5" s="39"/>
      <c r="L5" s="39"/>
      <c r="M5" s="39"/>
    </row>
    <row r="6" spans="1:13" ht="15">
      <c r="A6" s="38" t="s">
        <v>270</v>
      </c>
      <c r="E6" s="39"/>
      <c r="F6" s="39"/>
      <c r="G6" s="39"/>
      <c r="H6" s="39"/>
      <c r="I6" s="39"/>
      <c r="J6" s="39"/>
      <c r="K6" s="39"/>
      <c r="L6" s="39"/>
      <c r="M6" s="39"/>
    </row>
    <row r="7" spans="5:13" ht="15">
      <c r="E7" s="39"/>
      <c r="F7" s="39"/>
      <c r="G7" s="39"/>
      <c r="H7" s="39"/>
      <c r="I7" s="39"/>
      <c r="J7" s="39"/>
      <c r="K7" s="39"/>
      <c r="L7" s="39"/>
      <c r="M7" s="39"/>
    </row>
    <row r="8" spans="2:13" ht="15.75">
      <c r="B8" s="25" t="s">
        <v>271</v>
      </c>
      <c r="E8" s="10">
        <v>3739342</v>
      </c>
      <c r="F8" s="10">
        <v>900002</v>
      </c>
      <c r="G8" s="10"/>
      <c r="H8" s="10"/>
      <c r="I8" s="10">
        <v>6459452</v>
      </c>
      <c r="J8" s="10">
        <v>5685432</v>
      </c>
      <c r="K8" s="10"/>
      <c r="L8" s="10"/>
      <c r="M8" s="10">
        <f>SUM(E8:K8)</f>
        <v>16784228</v>
      </c>
    </row>
    <row r="9" spans="2:13" ht="15.75">
      <c r="B9" s="38" t="s">
        <v>272</v>
      </c>
      <c r="E9" s="10">
        <v>8685116</v>
      </c>
      <c r="G9" s="10"/>
      <c r="H9" s="10"/>
      <c r="I9" s="10"/>
      <c r="J9" s="10">
        <v>6588445</v>
      </c>
      <c r="K9" s="10"/>
      <c r="L9" s="10"/>
      <c r="M9" s="10">
        <f>SUM(E9:K9)</f>
        <v>15273561</v>
      </c>
    </row>
    <row r="10" spans="2:13" ht="15.75">
      <c r="B10" s="38" t="s">
        <v>273</v>
      </c>
      <c r="E10" s="10">
        <v>16785887</v>
      </c>
      <c r="G10" s="10"/>
      <c r="H10" s="10"/>
      <c r="I10" s="10"/>
      <c r="J10" s="10">
        <v>23849979</v>
      </c>
      <c r="K10" s="10">
        <v>356181</v>
      </c>
      <c r="L10" s="10"/>
      <c r="M10" s="10">
        <f>SUM(E10:K10)</f>
        <v>40992047</v>
      </c>
    </row>
    <row r="11" spans="2:13" ht="15.75">
      <c r="B11" s="38" t="s">
        <v>274</v>
      </c>
      <c r="E11" s="10">
        <v>658433</v>
      </c>
      <c r="G11" s="10"/>
      <c r="H11" s="10"/>
      <c r="I11" s="10"/>
      <c r="J11" s="10">
        <v>174322</v>
      </c>
      <c r="K11" s="10"/>
      <c r="L11" s="10"/>
      <c r="M11" s="10">
        <f>SUM(E11:K11)</f>
        <v>832755</v>
      </c>
    </row>
    <row r="12" spans="2:13" ht="15.75">
      <c r="B12" s="38" t="s">
        <v>275</v>
      </c>
      <c r="E12" s="10">
        <v>1232466</v>
      </c>
      <c r="G12" s="10"/>
      <c r="H12" s="10"/>
      <c r="I12" s="10">
        <v>1439377</v>
      </c>
      <c r="J12" s="10">
        <v>6758595</v>
      </c>
      <c r="K12" s="10"/>
      <c r="L12" s="10"/>
      <c r="M12" s="10">
        <f>SUM(E12:K12)</f>
        <v>9430438</v>
      </c>
    </row>
    <row r="13" spans="2:13" ht="15.75">
      <c r="B13" s="38" t="s">
        <v>276</v>
      </c>
      <c r="E13" s="10"/>
      <c r="G13" s="10"/>
      <c r="H13" s="10"/>
      <c r="I13" s="10"/>
      <c r="J13" s="10">
        <v>2002</v>
      </c>
      <c r="K13" s="10"/>
      <c r="L13" s="10"/>
      <c r="M13" s="10">
        <f>SUM(H13:L13)</f>
        <v>2002</v>
      </c>
    </row>
    <row r="14" spans="2:13" ht="15.75">
      <c r="B14" s="38" t="s">
        <v>277</v>
      </c>
      <c r="E14" s="10"/>
      <c r="G14" s="10"/>
      <c r="H14" s="10"/>
      <c r="I14" s="10"/>
      <c r="J14" s="10"/>
      <c r="K14" s="10">
        <v>6376</v>
      </c>
      <c r="L14" s="10"/>
      <c r="M14" s="10">
        <f>SUM(E14:K14)</f>
        <v>6376</v>
      </c>
    </row>
    <row r="15" spans="5:13" ht="15.75">
      <c r="E15" s="10">
        <v>-379567</v>
      </c>
      <c r="F15" s="38">
        <v>-900002</v>
      </c>
      <c r="G15" s="10"/>
      <c r="H15" s="10"/>
      <c r="I15" s="10">
        <v>-7898829</v>
      </c>
      <c r="J15" s="10">
        <v>217349</v>
      </c>
      <c r="K15" s="10">
        <v>1466453</v>
      </c>
      <c r="L15" s="10"/>
      <c r="M15" s="10">
        <f>SUM(E15:K15)</f>
        <v>-7494596</v>
      </c>
    </row>
    <row r="16" spans="5:13" ht="15.75">
      <c r="E16" s="21">
        <f>SUM(E8:E15)</f>
        <v>30721677</v>
      </c>
      <c r="F16" s="21">
        <f>SUM(F8:F15)</f>
        <v>0</v>
      </c>
      <c r="G16" s="21">
        <f>SUM(G8:G15)</f>
        <v>0</v>
      </c>
      <c r="H16" s="21"/>
      <c r="I16" s="21">
        <f>SUM(I8:I15)</f>
        <v>0</v>
      </c>
      <c r="J16" s="21">
        <f>SUM(J8:J15)</f>
        <v>43276124</v>
      </c>
      <c r="K16" s="21">
        <f>SUM(K8:K15)</f>
        <v>1829010</v>
      </c>
      <c r="L16" s="10"/>
      <c r="M16" s="21">
        <f>SUM(M8:M15)</f>
        <v>75826811</v>
      </c>
    </row>
    <row r="17" spans="5:13" ht="15.75">
      <c r="E17" s="21"/>
      <c r="F17" s="21"/>
      <c r="G17" s="21"/>
      <c r="H17" s="21"/>
      <c r="I17" s="21"/>
      <c r="J17" s="21"/>
      <c r="K17" s="21"/>
      <c r="L17" s="10"/>
      <c r="M17" s="21"/>
    </row>
    <row r="18" spans="1:13" ht="15.75">
      <c r="A18" s="38" t="s">
        <v>278</v>
      </c>
      <c r="E18" s="10"/>
      <c r="F18" s="10"/>
      <c r="G18" s="10"/>
      <c r="H18" s="10"/>
      <c r="I18" s="10"/>
      <c r="J18" s="10"/>
      <c r="K18" s="10"/>
      <c r="L18" s="10"/>
      <c r="M18" s="10"/>
    </row>
    <row r="19" spans="5:13" ht="15.75">
      <c r="E19" s="10"/>
      <c r="F19" s="10"/>
      <c r="G19" s="10"/>
      <c r="H19" s="10"/>
      <c r="I19" s="10"/>
      <c r="J19" s="10"/>
      <c r="K19" s="10"/>
      <c r="L19" s="10"/>
      <c r="M19" s="10"/>
    </row>
    <row r="20" spans="2:13" ht="15.75">
      <c r="B20" s="38" t="s">
        <v>279</v>
      </c>
      <c r="E20" s="10">
        <v>23940031</v>
      </c>
      <c r="F20" s="10"/>
      <c r="G20" s="10">
        <v>0</v>
      </c>
      <c r="H20" s="10"/>
      <c r="I20" s="10">
        <v>4033995</v>
      </c>
      <c r="J20" s="10">
        <v>17009352</v>
      </c>
      <c r="K20" s="10"/>
      <c r="L20" s="10"/>
      <c r="M20" s="10">
        <f>SUM(E20:K20)</f>
        <v>44983378</v>
      </c>
    </row>
    <row r="21" spans="2:13" ht="15.75">
      <c r="B21" s="38" t="s">
        <v>277</v>
      </c>
      <c r="E21" s="10"/>
      <c r="F21" s="10">
        <f>-F20</f>
        <v>0</v>
      </c>
      <c r="G21" s="10">
        <v>0</v>
      </c>
      <c r="H21" s="10"/>
      <c r="I21" s="10">
        <f>-I20</f>
        <v>-4033995</v>
      </c>
      <c r="J21" s="10"/>
      <c r="K21" s="10"/>
      <c r="L21" s="10"/>
      <c r="M21" s="10">
        <f>SUM(E21:K21)</f>
        <v>-4033995</v>
      </c>
    </row>
    <row r="22" spans="5:13" ht="15.75">
      <c r="E22" s="10"/>
      <c r="F22" s="10"/>
      <c r="G22" s="10"/>
      <c r="H22" s="10"/>
      <c r="I22" s="10"/>
      <c r="J22" s="10"/>
      <c r="K22" s="10"/>
      <c r="L22" s="10"/>
      <c r="M22" s="10"/>
    </row>
    <row r="23" spans="5:13" ht="15.75">
      <c r="E23" s="21">
        <f>SUM(E20:E22)</f>
        <v>23940031</v>
      </c>
      <c r="F23" s="21">
        <f>SUM(F20:F22)</f>
        <v>0</v>
      </c>
      <c r="G23" s="21">
        <f>SUM(G20:G22)</f>
        <v>0</v>
      </c>
      <c r="H23" s="21"/>
      <c r="I23" s="21">
        <f>SUM(I20:I22)</f>
        <v>0</v>
      </c>
      <c r="J23" s="21">
        <f>SUM(J20:J22)</f>
        <v>17009352</v>
      </c>
      <c r="K23" s="21">
        <f>SUM(K20:K22)</f>
        <v>0</v>
      </c>
      <c r="L23" s="10"/>
      <c r="M23" s="21">
        <f>SUM(M20:M22)</f>
        <v>40949383</v>
      </c>
    </row>
    <row r="24" spans="5:13" ht="15.75">
      <c r="E24" s="21"/>
      <c r="F24" s="21"/>
      <c r="G24" s="21"/>
      <c r="H24" s="21"/>
      <c r="I24" s="21"/>
      <c r="J24" s="21"/>
      <c r="K24" s="21"/>
      <c r="L24" s="10"/>
      <c r="M24" s="21"/>
    </row>
    <row r="25" spans="1:13" ht="15.75">
      <c r="A25" s="38" t="s">
        <v>280</v>
      </c>
      <c r="E25" s="10"/>
      <c r="F25" s="10"/>
      <c r="G25" s="10"/>
      <c r="H25" s="10"/>
      <c r="I25" s="10"/>
      <c r="J25" s="10"/>
      <c r="K25" s="10"/>
      <c r="L25" s="10"/>
      <c r="M25" s="10"/>
    </row>
    <row r="26" spans="2:13" ht="15.75">
      <c r="B26" s="38" t="s">
        <v>281</v>
      </c>
      <c r="E26" s="10"/>
      <c r="F26" s="10"/>
      <c r="G26" s="10"/>
      <c r="H26" s="10"/>
      <c r="I26" s="10"/>
      <c r="J26" s="10"/>
      <c r="K26" s="10"/>
      <c r="L26" s="10"/>
      <c r="M26" s="10"/>
    </row>
    <row r="27" spans="2:13" ht="15.75">
      <c r="B27" s="38" t="s">
        <v>277</v>
      </c>
      <c r="E27" s="10"/>
      <c r="F27" s="10"/>
      <c r="G27" s="10"/>
      <c r="H27" s="10"/>
      <c r="I27" s="10"/>
      <c r="J27" s="10"/>
      <c r="K27" s="10"/>
      <c r="L27" s="10"/>
      <c r="M27" s="10"/>
    </row>
    <row r="28" spans="5:13" ht="15.75">
      <c r="E28" s="10"/>
      <c r="F28" s="10"/>
      <c r="G28" s="10"/>
      <c r="H28" s="10"/>
      <c r="I28" s="10"/>
      <c r="J28" s="10"/>
      <c r="K28" s="10"/>
      <c r="L28" s="10"/>
      <c r="M28" s="10"/>
    </row>
    <row r="29" spans="5:13" ht="15.75">
      <c r="E29" s="21"/>
      <c r="F29" s="21"/>
      <c r="G29" s="21"/>
      <c r="H29" s="21"/>
      <c r="I29" s="21"/>
      <c r="J29" s="21"/>
      <c r="K29" s="21"/>
      <c r="L29" s="10"/>
      <c r="M29" s="21"/>
    </row>
    <row r="30" spans="5:13" ht="15.75">
      <c r="E30" s="21"/>
      <c r="F30" s="21"/>
      <c r="G30" s="21"/>
      <c r="H30" s="21"/>
      <c r="I30" s="21"/>
      <c r="J30" s="21"/>
      <c r="K30" s="21"/>
      <c r="L30" s="10"/>
      <c r="M30" s="21"/>
    </row>
    <row r="31" spans="1:13" ht="15.75">
      <c r="A31" s="38" t="s">
        <v>181</v>
      </c>
      <c r="E31" s="10"/>
      <c r="F31" s="10"/>
      <c r="G31" s="10"/>
      <c r="H31" s="10"/>
      <c r="I31" s="10"/>
      <c r="J31" s="10"/>
      <c r="K31" s="10"/>
      <c r="L31" s="10"/>
      <c r="M31" s="10"/>
    </row>
    <row r="32" spans="2:13" ht="15.75">
      <c r="B32" s="38" t="s">
        <v>282</v>
      </c>
      <c r="E32" s="10">
        <v>2416135</v>
      </c>
      <c r="F32" s="10">
        <v>37152112</v>
      </c>
      <c r="G32" s="10"/>
      <c r="H32" s="10">
        <v>1143291</v>
      </c>
      <c r="I32" s="10">
        <v>19667976</v>
      </c>
      <c r="J32" s="10">
        <v>829681</v>
      </c>
      <c r="K32" s="10"/>
      <c r="L32" s="10"/>
      <c r="M32" s="10">
        <f>SUM(E32:K32)</f>
        <v>61209195</v>
      </c>
    </row>
    <row r="33" spans="2:13" ht="15.75">
      <c r="B33" s="38" t="s">
        <v>283</v>
      </c>
      <c r="E33" s="10">
        <v>358158</v>
      </c>
      <c r="F33" s="10"/>
      <c r="G33" s="10"/>
      <c r="H33" s="10"/>
      <c r="I33" s="10">
        <v>366</v>
      </c>
      <c r="J33" s="10">
        <v>205237</v>
      </c>
      <c r="K33" s="10">
        <v>261886</v>
      </c>
      <c r="L33" s="10"/>
      <c r="M33" s="10">
        <f>SUM(E33:K33)</f>
        <v>825647</v>
      </c>
    </row>
    <row r="34" spans="2:13" ht="15.75">
      <c r="B34" s="38" t="s">
        <v>277</v>
      </c>
      <c r="E34" s="10"/>
      <c r="F34" s="10">
        <v>-37152112</v>
      </c>
      <c r="G34" s="10"/>
      <c r="H34" s="10"/>
      <c r="I34" s="10">
        <f>-SUM(I32:I33)</f>
        <v>-19668342</v>
      </c>
      <c r="J34" s="10"/>
      <c r="K34" s="10">
        <v>-5164</v>
      </c>
      <c r="L34" s="10"/>
      <c r="M34" s="10">
        <f>SUM(E34:K34)</f>
        <v>-56825618</v>
      </c>
    </row>
    <row r="35" spans="5:13" ht="15.75">
      <c r="E35" s="10"/>
      <c r="F35" s="10"/>
      <c r="G35" s="10"/>
      <c r="H35" s="10"/>
      <c r="I35" s="10"/>
      <c r="J35" s="10"/>
      <c r="K35" s="10"/>
      <c r="L35" s="10"/>
      <c r="M35" s="10"/>
    </row>
    <row r="36" spans="5:13" ht="15.75">
      <c r="E36" s="21">
        <f aca="true" t="shared" si="0" ref="E36:K36">SUM(E32:E35)</f>
        <v>2774293</v>
      </c>
      <c r="F36" s="21">
        <f t="shared" si="0"/>
        <v>0</v>
      </c>
      <c r="G36" s="21">
        <f t="shared" si="0"/>
        <v>0</v>
      </c>
      <c r="H36" s="21">
        <f t="shared" si="0"/>
        <v>1143291</v>
      </c>
      <c r="I36" s="21">
        <f t="shared" si="0"/>
        <v>0</v>
      </c>
      <c r="J36" s="21">
        <f t="shared" si="0"/>
        <v>1034918</v>
      </c>
      <c r="K36" s="21">
        <f t="shared" si="0"/>
        <v>256722</v>
      </c>
      <c r="L36" s="10"/>
      <c r="M36" s="21">
        <f>SUM(M32:M35)</f>
        <v>5209224</v>
      </c>
    </row>
    <row r="37" spans="5:13" ht="15.75">
      <c r="E37" s="21"/>
      <c r="F37" s="21"/>
      <c r="G37" s="21"/>
      <c r="H37" s="21"/>
      <c r="I37" s="21"/>
      <c r="J37" s="21"/>
      <c r="K37" s="21"/>
      <c r="L37" s="10"/>
      <c r="M37" s="21"/>
    </row>
    <row r="38" spans="2:13" ht="15.75">
      <c r="B38" s="38" t="s">
        <v>284</v>
      </c>
      <c r="E38" s="10">
        <f aca="true" t="shared" si="1" ref="E38:K38">+E16+E23+E36</f>
        <v>57436001</v>
      </c>
      <c r="F38" s="10">
        <f t="shared" si="1"/>
        <v>0</v>
      </c>
      <c r="G38" s="10">
        <f t="shared" si="1"/>
        <v>0</v>
      </c>
      <c r="H38" s="10">
        <f t="shared" si="1"/>
        <v>1143291</v>
      </c>
      <c r="I38" s="10">
        <f t="shared" si="1"/>
        <v>0</v>
      </c>
      <c r="J38" s="10">
        <f t="shared" si="1"/>
        <v>61320394</v>
      </c>
      <c r="K38" s="10">
        <f t="shared" si="1"/>
        <v>2085732</v>
      </c>
      <c r="L38" s="10"/>
      <c r="M38" s="10">
        <f>+M16+M23+M36</f>
        <v>121985418</v>
      </c>
    </row>
    <row r="39" spans="5:13" ht="15.75">
      <c r="E39" s="40"/>
      <c r="F39" s="40"/>
      <c r="G39" s="40"/>
      <c r="H39" s="40"/>
      <c r="I39" s="40"/>
      <c r="J39" s="40"/>
      <c r="K39" s="40"/>
      <c r="L39" s="10"/>
      <c r="M39" s="40"/>
    </row>
    <row r="40" spans="5:13" ht="15.75">
      <c r="E40" s="10"/>
      <c r="F40" s="10" t="s">
        <v>285</v>
      </c>
      <c r="G40" s="10" t="s">
        <v>286</v>
      </c>
      <c r="H40" s="10" t="s">
        <v>287</v>
      </c>
      <c r="I40" s="10" t="s">
        <v>288</v>
      </c>
      <c r="J40" s="10" t="s">
        <v>289</v>
      </c>
      <c r="K40" s="10" t="s">
        <v>290</v>
      </c>
      <c r="L40" s="10"/>
      <c r="M40" s="10">
        <f>SUM(E40:K40)</f>
        <v>0</v>
      </c>
    </row>
    <row r="41" spans="5:13" ht="15.75">
      <c r="E41" s="10">
        <f aca="true" t="shared" si="2" ref="E41:K41">+E38-E40</f>
        <v>57436001</v>
      </c>
      <c r="F41" s="10" t="e">
        <f t="shared" si="2"/>
        <v>#VALUE!</v>
      </c>
      <c r="G41" s="10" t="e">
        <f t="shared" si="2"/>
        <v>#VALUE!</v>
      </c>
      <c r="H41" s="10" t="e">
        <f t="shared" si="2"/>
        <v>#VALUE!</v>
      </c>
      <c r="I41" s="10" t="e">
        <f t="shared" si="2"/>
        <v>#VALUE!</v>
      </c>
      <c r="J41" s="10" t="e">
        <f t="shared" si="2"/>
        <v>#VALUE!</v>
      </c>
      <c r="K41" s="10" t="e">
        <f t="shared" si="2"/>
        <v>#VALUE!</v>
      </c>
      <c r="L41" s="10"/>
      <c r="M41" s="10">
        <f>+M38-M40</f>
        <v>121985418</v>
      </c>
    </row>
    <row r="42" spans="5:13" ht="15.75">
      <c r="E42" s="10"/>
      <c r="F42" s="10"/>
      <c r="G42" s="10"/>
      <c r="H42" s="10"/>
      <c r="I42" s="10"/>
      <c r="J42" s="10"/>
      <c r="K42" s="10"/>
      <c r="L42" s="10"/>
      <c r="M42" s="10"/>
    </row>
    <row r="43" spans="5:13" ht="15.75">
      <c r="E43" s="10"/>
      <c r="F43" s="10"/>
      <c r="G43" s="10"/>
      <c r="H43" s="10"/>
      <c r="I43" s="10"/>
      <c r="J43" s="10"/>
      <c r="K43" s="10"/>
      <c r="L43" s="10"/>
      <c r="M43" s="10"/>
    </row>
  </sheetData>
  <printOptions/>
  <pageMargins left="0.5" right="0.5" top="0.5" bottom="0.25" header="0" footer="0"/>
  <pageSetup orientation="portrait" scale="64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8"/>
  <sheetViews>
    <sheetView showOutlineSymbols="0" zoomScale="87" zoomScaleNormal="87" workbookViewId="0" topLeftCell="A1">
      <selection activeCell="A46" sqref="A46"/>
    </sheetView>
  </sheetViews>
  <sheetFormatPr defaultColWidth="9.6640625" defaultRowHeight="15"/>
  <cols>
    <col min="1" max="1" width="14.6640625" style="38" customWidth="1"/>
    <col min="2" max="16384" width="9.6640625" style="38" customWidth="1"/>
  </cols>
  <sheetData>
    <row r="1" ht="15">
      <c r="A1" s="38" t="s">
        <v>291</v>
      </c>
    </row>
    <row r="3" spans="3:9" ht="15">
      <c r="C3" s="25" t="s">
        <v>292</v>
      </c>
      <c r="I3" s="38" t="s">
        <v>293</v>
      </c>
    </row>
    <row r="4" spans="1:5" ht="15">
      <c r="A4" s="38" t="s">
        <v>294</v>
      </c>
      <c r="C4" s="25"/>
      <c r="E4" s="41">
        <f>38888000*273/273</f>
        <v>38888000</v>
      </c>
    </row>
    <row r="5" ht="15">
      <c r="E5" s="41"/>
    </row>
    <row r="6" spans="1:12" ht="15">
      <c r="A6" s="38" t="s">
        <v>295</v>
      </c>
      <c r="B6" s="38" t="s">
        <v>296</v>
      </c>
      <c r="C6" s="25" t="s">
        <v>297</v>
      </c>
      <c r="E6" s="41">
        <f>3310000*15/273</f>
        <v>181868.13186813187</v>
      </c>
      <c r="I6" s="38">
        <v>3310000</v>
      </c>
      <c r="J6" s="25" t="s">
        <v>298</v>
      </c>
      <c r="L6" s="38">
        <f>3310000*2.13</f>
        <v>7050300</v>
      </c>
    </row>
    <row r="7" ht="15">
      <c r="E7" s="41"/>
    </row>
    <row r="8" spans="1:12" ht="15">
      <c r="A8" s="38" t="s">
        <v>299</v>
      </c>
      <c r="B8" s="38" t="s">
        <v>300</v>
      </c>
      <c r="C8" s="38" t="s">
        <v>301</v>
      </c>
      <c r="E8" s="41">
        <f>180000*3/273</f>
        <v>1978.021978021978</v>
      </c>
      <c r="I8" s="38">
        <v>180000</v>
      </c>
      <c r="J8" s="25" t="s">
        <v>302</v>
      </c>
      <c r="L8" s="38">
        <f>180000*2.18</f>
        <v>392400</v>
      </c>
    </row>
    <row r="9" ht="15">
      <c r="E9" s="41"/>
    </row>
    <row r="10" spans="1:12" ht="15.75">
      <c r="A10" s="38" t="s">
        <v>303</v>
      </c>
      <c r="B10" s="38" t="s">
        <v>304</v>
      </c>
      <c r="C10" s="25" t="s">
        <v>305</v>
      </c>
      <c r="E10" s="41">
        <f>-10000*165/273</f>
        <v>-6043.956043956044</v>
      </c>
      <c r="L10" s="34">
        <f>SUM(L6:L9)</f>
        <v>7442700</v>
      </c>
    </row>
    <row r="11" ht="15">
      <c r="E11" s="41"/>
    </row>
    <row r="12" spans="1:9" ht="15">
      <c r="A12" s="38" t="s">
        <v>303</v>
      </c>
      <c r="B12" s="38" t="s">
        <v>306</v>
      </c>
      <c r="C12" s="25" t="s">
        <v>307</v>
      </c>
      <c r="E12" s="41">
        <f>-10000*164/273</f>
        <v>-6007.326007326007</v>
      </c>
      <c r="I12" s="38" t="s">
        <v>308</v>
      </c>
    </row>
    <row r="13" ht="15">
      <c r="E13" s="41"/>
    </row>
    <row r="14" spans="1:9" ht="15">
      <c r="A14" s="38" t="s">
        <v>303</v>
      </c>
      <c r="B14" s="38" t="s">
        <v>309</v>
      </c>
      <c r="C14" s="25" t="s">
        <v>310</v>
      </c>
      <c r="E14" s="41">
        <f>-10000*163/273</f>
        <v>-5970.695970695971</v>
      </c>
      <c r="I14" s="38" t="s">
        <v>311</v>
      </c>
    </row>
    <row r="15" ht="15">
      <c r="E15" s="41"/>
    </row>
    <row r="16" spans="1:10" ht="15">
      <c r="A16" s="38" t="s">
        <v>303</v>
      </c>
      <c r="B16" s="38" t="s">
        <v>312</v>
      </c>
      <c r="C16" s="25" t="s">
        <v>313</v>
      </c>
      <c r="E16" s="41">
        <f>-4000*162/273</f>
        <v>-2373.6263736263736</v>
      </c>
      <c r="I16" s="38" t="s">
        <v>314</v>
      </c>
      <c r="J16" s="38">
        <v>3.25</v>
      </c>
    </row>
    <row r="17" spans="5:10" ht="15">
      <c r="E17" s="41"/>
      <c r="I17" s="38" t="s">
        <v>315</v>
      </c>
      <c r="J17" s="38">
        <v>3.4</v>
      </c>
    </row>
    <row r="18" spans="1:10" ht="15">
      <c r="A18" s="38" t="s">
        <v>303</v>
      </c>
      <c r="B18" s="38" t="s">
        <v>316</v>
      </c>
      <c r="C18" s="25" t="s">
        <v>317</v>
      </c>
      <c r="E18" s="41">
        <f>-6000*161/273</f>
        <v>-3538.4615384615386</v>
      </c>
      <c r="I18" s="38" t="s">
        <v>318</v>
      </c>
      <c r="J18" s="38">
        <v>3.5</v>
      </c>
    </row>
    <row r="19" spans="5:10" ht="15">
      <c r="E19" s="41"/>
      <c r="I19" s="38" t="s">
        <v>319</v>
      </c>
      <c r="J19" s="38">
        <v>3.75</v>
      </c>
    </row>
    <row r="20" spans="1:10" ht="15">
      <c r="A20" s="38" t="s">
        <v>303</v>
      </c>
      <c r="B20" s="38" t="s">
        <v>320</v>
      </c>
      <c r="C20" s="38" t="s">
        <v>321</v>
      </c>
      <c r="E20" s="41">
        <f>-13000*157/273</f>
        <v>-7476.190476190476</v>
      </c>
      <c r="I20" s="38" t="s">
        <v>322</v>
      </c>
      <c r="J20" s="38">
        <v>4.1</v>
      </c>
    </row>
    <row r="21" ht="15">
      <c r="E21" s="41"/>
    </row>
    <row r="22" spans="1:10" ht="15">
      <c r="A22" s="38" t="s">
        <v>303</v>
      </c>
      <c r="B22" s="38" t="s">
        <v>323</v>
      </c>
      <c r="C22" s="38" t="s">
        <v>324</v>
      </c>
      <c r="E22" s="41">
        <f>-10000*141/273</f>
        <v>-5164.8351648351645</v>
      </c>
      <c r="I22" s="38" t="s">
        <v>325</v>
      </c>
      <c r="J22" s="38">
        <f>SUM(J16:J21)/5</f>
        <v>3.6</v>
      </c>
    </row>
    <row r="23" ht="15">
      <c r="E23" s="41"/>
    </row>
    <row r="24" spans="1:5" ht="15">
      <c r="A24" s="38" t="s">
        <v>303</v>
      </c>
      <c r="B24" s="38" t="s">
        <v>326</v>
      </c>
      <c r="C24" s="38" t="s">
        <v>327</v>
      </c>
      <c r="E24" s="41">
        <f>-5000*137/273</f>
        <v>-2509.157509157509</v>
      </c>
    </row>
    <row r="25" spans="5:9" ht="15">
      <c r="E25" s="41"/>
      <c r="I25" s="38" t="s">
        <v>328</v>
      </c>
    </row>
    <row r="26" spans="1:5" ht="15">
      <c r="A26" s="38" t="s">
        <v>303</v>
      </c>
      <c r="B26" s="38" t="s">
        <v>329</v>
      </c>
      <c r="C26" s="38" t="s">
        <v>330</v>
      </c>
      <c r="E26" s="41">
        <f>-10000*123/273</f>
        <v>-4505.494505494506</v>
      </c>
    </row>
    <row r="27" spans="5:13" ht="15">
      <c r="E27" s="41"/>
      <c r="I27" s="38" t="s">
        <v>331</v>
      </c>
      <c r="J27" s="25" t="s">
        <v>332</v>
      </c>
      <c r="M27" s="42">
        <f>7050300*0.036*15/365</f>
        <v>10430.580821917809</v>
      </c>
    </row>
    <row r="28" spans="1:13" ht="15">
      <c r="A28" s="38" t="s">
        <v>303</v>
      </c>
      <c r="B28" s="38" t="s">
        <v>333</v>
      </c>
      <c r="C28" s="38" t="s">
        <v>334</v>
      </c>
      <c r="E28" s="41">
        <f>-10000*121/273</f>
        <v>-4432.2344322344325</v>
      </c>
      <c r="M28" s="42"/>
    </row>
    <row r="29" spans="5:13" ht="15">
      <c r="E29" s="41"/>
      <c r="I29" s="38" t="s">
        <v>335</v>
      </c>
      <c r="J29" s="38" t="s">
        <v>336</v>
      </c>
      <c r="M29" s="42">
        <f>392400*0.036*3/365</f>
        <v>116.10739726027397</v>
      </c>
    </row>
    <row r="30" spans="1:13" ht="15">
      <c r="A30" s="38" t="s">
        <v>303</v>
      </c>
      <c r="B30" s="38" t="s">
        <v>337</v>
      </c>
      <c r="C30" s="25" t="s">
        <v>338</v>
      </c>
      <c r="E30" s="41">
        <f>-16000*119/273</f>
        <v>-6974.358974358975</v>
      </c>
      <c r="M30" s="42"/>
    </row>
    <row r="31" spans="5:13" ht="15.75">
      <c r="E31" s="41"/>
      <c r="M31" s="43">
        <f>SUM(M27:M30)</f>
        <v>10546.688219178082</v>
      </c>
    </row>
    <row r="32" spans="1:5" ht="15">
      <c r="A32" s="38" t="s">
        <v>303</v>
      </c>
      <c r="B32" s="38" t="s">
        <v>339</v>
      </c>
      <c r="C32" s="25" t="s">
        <v>340</v>
      </c>
      <c r="E32" s="41">
        <f>-13000*116/273</f>
        <v>-5523.809523809524</v>
      </c>
    </row>
    <row r="33" ht="15">
      <c r="E33" s="41"/>
    </row>
    <row r="34" spans="1:5" ht="15">
      <c r="A34" s="38" t="s">
        <v>303</v>
      </c>
      <c r="B34" s="38" t="s">
        <v>341</v>
      </c>
      <c r="C34" s="25" t="s">
        <v>342</v>
      </c>
      <c r="E34" s="41">
        <f>-1000*115/273</f>
        <v>-421.24542124542126</v>
      </c>
    </row>
    <row r="35" ht="15">
      <c r="E35" s="41"/>
    </row>
    <row r="36" spans="1:5" ht="15">
      <c r="A36" s="38" t="s">
        <v>303</v>
      </c>
      <c r="B36" s="38" t="s">
        <v>343</v>
      </c>
      <c r="C36" s="38" t="s">
        <v>344</v>
      </c>
      <c r="E36" s="41">
        <f>-2000*106/273</f>
        <v>-776.5567765567765</v>
      </c>
    </row>
    <row r="37" ht="15">
      <c r="E37" s="41"/>
    </row>
    <row r="38" spans="1:5" ht="15">
      <c r="A38" s="38" t="s">
        <v>303</v>
      </c>
      <c r="B38" s="38" t="s">
        <v>345</v>
      </c>
      <c r="C38" s="38" t="s">
        <v>346</v>
      </c>
      <c r="E38" s="41">
        <f>-2000*100/273</f>
        <v>-732.6007326007326</v>
      </c>
    </row>
    <row r="39" ht="15">
      <c r="E39" s="41"/>
    </row>
    <row r="40" spans="1:5" ht="15">
      <c r="A40" s="38" t="s">
        <v>303</v>
      </c>
      <c r="B40" s="38" t="s">
        <v>347</v>
      </c>
      <c r="C40" s="38" t="s">
        <v>348</v>
      </c>
      <c r="E40" s="41">
        <f>-8000*98/273</f>
        <v>-2871.7948717948716</v>
      </c>
    </row>
    <row r="41" ht="15">
      <c r="E41" s="41"/>
    </row>
    <row r="42" spans="1:5" ht="15">
      <c r="A42" s="38" t="s">
        <v>303</v>
      </c>
      <c r="B42" s="38" t="s">
        <v>349</v>
      </c>
      <c r="C42" s="38" t="s">
        <v>350</v>
      </c>
      <c r="E42" s="41">
        <f>-18000*11/273</f>
        <v>-725.2747252747253</v>
      </c>
    </row>
    <row r="43" ht="15">
      <c r="E43" s="41"/>
    </row>
    <row r="44" spans="1:5" ht="15">
      <c r="A44" s="38" t="s">
        <v>303</v>
      </c>
      <c r="B44" s="38" t="s">
        <v>351</v>
      </c>
      <c r="C44" s="38" t="s">
        <v>352</v>
      </c>
      <c r="E44" s="41">
        <f>-40000*10/273</f>
        <v>-1465.2014652014652</v>
      </c>
    </row>
    <row r="45" ht="15">
      <c r="E45" s="41"/>
    </row>
    <row r="46" spans="1:5" ht="15">
      <c r="A46" s="38" t="s">
        <v>303</v>
      </c>
      <c r="B46" s="38" t="s">
        <v>353</v>
      </c>
      <c r="C46" s="38" t="s">
        <v>354</v>
      </c>
      <c r="E46" s="41">
        <f>-22000*9/273</f>
        <v>-725.2747252747253</v>
      </c>
    </row>
    <row r="47" ht="15">
      <c r="E47" s="41"/>
    </row>
    <row r="48" spans="1:5" ht="15">
      <c r="A48" s="38" t="s">
        <v>303</v>
      </c>
      <c r="B48" s="38" t="s">
        <v>355</v>
      </c>
      <c r="C48" s="38" t="s">
        <v>356</v>
      </c>
      <c r="E48" s="41">
        <f>-3000*8/273</f>
        <v>-87.91208791208791</v>
      </c>
    </row>
    <row r="49" ht="15">
      <c r="E49" s="41"/>
    </row>
    <row r="50" spans="1:5" ht="15">
      <c r="A50" s="38" t="s">
        <v>303</v>
      </c>
      <c r="B50" s="38" t="s">
        <v>357</v>
      </c>
      <c r="C50" s="38" t="s">
        <v>358</v>
      </c>
      <c r="E50" s="41">
        <f>-34000*7/273</f>
        <v>-871.7948717948718</v>
      </c>
    </row>
    <row r="51" ht="15">
      <c r="E51" s="41"/>
    </row>
    <row r="52" spans="1:5" ht="15">
      <c r="A52" s="38" t="s">
        <v>303</v>
      </c>
      <c r="B52" s="38" t="s">
        <v>359</v>
      </c>
      <c r="C52" s="38" t="s">
        <v>360</v>
      </c>
      <c r="E52" s="41">
        <f>-8000*4/273</f>
        <v>-117.21611721611721</v>
      </c>
    </row>
    <row r="53" ht="15">
      <c r="E53" s="41"/>
    </row>
    <row r="54" spans="1:5" ht="15">
      <c r="A54" s="38" t="s">
        <v>303</v>
      </c>
      <c r="B54" s="38" t="s">
        <v>361</v>
      </c>
      <c r="C54" s="38" t="s">
        <v>362</v>
      </c>
      <c r="E54" s="41">
        <f>-30000*3/273</f>
        <v>-329.6703296703297</v>
      </c>
    </row>
    <row r="55" ht="15">
      <c r="E55" s="41"/>
    </row>
    <row r="56" spans="1:5" ht="15">
      <c r="A56" s="38" t="s">
        <v>303</v>
      </c>
      <c r="B56" s="38" t="s">
        <v>363</v>
      </c>
      <c r="C56" s="38" t="s">
        <v>364</v>
      </c>
      <c r="E56" s="41">
        <f>-42000*1/273</f>
        <v>-153.84615384615384</v>
      </c>
    </row>
    <row r="58" ht="15">
      <c r="E58" s="38">
        <f>SUM(E4:E57)</f>
        <v>39002047.61904761</v>
      </c>
    </row>
  </sheetData>
  <printOptions/>
  <pageMargins left="0.5" right="0.5" top="0.5" bottom="0.25" header="0" footer="0"/>
  <pageSetup orientation="portrait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